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ап. строй\2021-2023\Сентябрь 2020\"/>
    </mc:Choice>
  </mc:AlternateContent>
  <bookViews>
    <workbookView xWindow="0" yWindow="0" windowWidth="28800" windowHeight="11700"/>
  </bookViews>
  <sheets>
    <sheet name="Лист1" sheetId="1" r:id="rId1"/>
    <sheet name="Лист2" sheetId="2" r:id="rId2"/>
  </sheets>
  <externalReferences>
    <externalReference r:id="rId3"/>
  </externalReferences>
  <definedNames>
    <definedName name="_xlnm.Print_Area" localSheetId="0">Лист1!$A$1:$P$64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5" i="1" l="1"/>
  <c r="F55" i="1"/>
  <c r="F69" i="1" l="1"/>
  <c r="P59" i="1"/>
  <c r="P14" i="1"/>
  <c r="F2" i="1"/>
  <c r="D55" i="1"/>
  <c r="D14" i="1"/>
  <c r="J51" i="1"/>
  <c r="I51" i="1"/>
  <c r="I45" i="1"/>
  <c r="J45" i="1"/>
  <c r="J24" i="1"/>
  <c r="I56" i="1"/>
  <c r="I24" i="1"/>
  <c r="I22" i="1"/>
  <c r="I10" i="1"/>
  <c r="H24" i="1" l="1"/>
  <c r="H45" i="1"/>
  <c r="N55" i="1" l="1"/>
  <c r="M55" i="1"/>
  <c r="L55" i="1"/>
  <c r="K55" i="1"/>
  <c r="G2" i="1"/>
  <c r="G55" i="1"/>
  <c r="G69" i="1"/>
  <c r="F36" i="1"/>
  <c r="G46" i="1" l="1"/>
  <c r="H46" i="1"/>
  <c r="I46" i="1"/>
  <c r="J46" i="1"/>
  <c r="K46" i="1"/>
  <c r="L46" i="1"/>
  <c r="M46" i="1"/>
  <c r="N46" i="1"/>
  <c r="O46" i="1"/>
  <c r="G45" i="1"/>
  <c r="K45" i="1"/>
  <c r="L45" i="1"/>
  <c r="M45" i="1"/>
  <c r="N45" i="1"/>
  <c r="O45" i="1"/>
  <c r="F46" i="1"/>
  <c r="F45" i="1"/>
  <c r="O5" i="1" l="1"/>
  <c r="D5" i="1" s="1"/>
  <c r="G44" i="1" l="1"/>
  <c r="H44" i="1"/>
  <c r="I44" i="1"/>
  <c r="J44" i="1"/>
  <c r="K44" i="1"/>
  <c r="L44" i="1"/>
  <c r="M44" i="1"/>
  <c r="N44" i="1"/>
  <c r="F44" i="1"/>
  <c r="O44" i="1" l="1"/>
  <c r="R5" i="1" l="1"/>
  <c r="R6" i="1"/>
  <c r="S6" i="1" s="1"/>
  <c r="R7" i="1"/>
  <c r="S7" i="1" s="1"/>
  <c r="S5" i="1" l="1"/>
  <c r="F64" i="1" l="1"/>
  <c r="F63" i="1"/>
  <c r="F62" i="1"/>
  <c r="F61" i="1" s="1"/>
  <c r="D8" i="2"/>
  <c r="E8" i="2"/>
  <c r="F8" i="2"/>
  <c r="G8" i="2"/>
  <c r="H8" i="2"/>
  <c r="I8" i="2"/>
  <c r="J8" i="2"/>
  <c r="K8" i="2"/>
  <c r="C8" i="2"/>
  <c r="P61" i="1" l="1"/>
  <c r="D61" i="1"/>
  <c r="D41" i="1"/>
  <c r="F31" i="1" l="1"/>
  <c r="F37" i="1" s="1"/>
  <c r="D37" i="1" s="1"/>
  <c r="F32" i="1"/>
  <c r="F38" i="1" s="1"/>
  <c r="F33" i="1"/>
  <c r="F39" i="1" s="1"/>
  <c r="D34" i="1"/>
  <c r="G22" i="1"/>
  <c r="H22" i="1" s="1"/>
  <c r="J22" i="1" s="1"/>
  <c r="K22" i="1" s="1"/>
  <c r="L22" i="1" s="1"/>
  <c r="M22" i="1" s="1"/>
  <c r="N22" i="1" s="1"/>
  <c r="O22" i="1" s="1"/>
  <c r="N93" i="1" l="1"/>
  <c r="N95" i="1"/>
  <c r="N96" i="1"/>
  <c r="N97" i="1"/>
  <c r="N98" i="1"/>
  <c r="N99" i="1"/>
  <c r="N100" i="1"/>
  <c r="N94" i="1"/>
  <c r="M95" i="1"/>
  <c r="M96" i="1"/>
  <c r="M97" i="1"/>
  <c r="M98" i="1"/>
  <c r="M99" i="1"/>
  <c r="M100" i="1"/>
  <c r="M101" i="1"/>
  <c r="M102" i="1"/>
  <c r="M94" i="1"/>
  <c r="I94" i="1"/>
  <c r="I95" i="1"/>
  <c r="I96" i="1"/>
  <c r="I97" i="1"/>
  <c r="I98" i="1"/>
  <c r="I99" i="1"/>
  <c r="I100" i="1"/>
  <c r="I101" i="1"/>
  <c r="I102" i="1"/>
  <c r="I93" i="1"/>
  <c r="G79" i="1"/>
  <c r="G80" i="1"/>
  <c r="G81" i="1"/>
  <c r="G82" i="1"/>
  <c r="G83" i="1"/>
  <c r="G84" i="1"/>
  <c r="G85" i="1"/>
  <c r="G86" i="1"/>
  <c r="G87" i="1"/>
  <c r="G78" i="1"/>
  <c r="L78" i="1" s="1"/>
  <c r="K79" i="1"/>
  <c r="J85" i="1"/>
  <c r="K85" i="1" s="1"/>
  <c r="I85" i="1"/>
  <c r="I86" i="1"/>
  <c r="J86" i="1" s="1"/>
  <c r="K86" i="1" s="1"/>
  <c r="I87" i="1"/>
  <c r="J87" i="1" s="1"/>
  <c r="I84" i="1"/>
  <c r="J84" i="1" s="1"/>
  <c r="K84" i="1" s="1"/>
  <c r="I83" i="1"/>
  <c r="J83" i="1" s="1"/>
  <c r="K83" i="1" s="1"/>
  <c r="I82" i="1"/>
  <c r="J82" i="1" s="1"/>
  <c r="K82" i="1" s="1"/>
  <c r="I81" i="1"/>
  <c r="J81" i="1" s="1"/>
  <c r="K81" i="1" s="1"/>
  <c r="I80" i="1"/>
  <c r="J80" i="1" s="1"/>
  <c r="K80" i="1" s="1"/>
  <c r="I79" i="1"/>
  <c r="L79" i="1" l="1"/>
  <c r="L84" i="1"/>
  <c r="L80" i="1"/>
  <c r="M103" i="1"/>
  <c r="I104" i="1" s="1"/>
  <c r="N101" i="1"/>
  <c r="L83" i="1"/>
  <c r="I103" i="1"/>
  <c r="K88" i="1"/>
  <c r="L82" i="1"/>
  <c r="L85" i="1"/>
  <c r="L81" i="1"/>
  <c r="L86" i="1" l="1"/>
  <c r="L90" i="1" s="1"/>
  <c r="O8" i="1" l="1"/>
  <c r="O7" i="1"/>
  <c r="H19" i="1"/>
  <c r="G19" i="1"/>
  <c r="H4" i="1"/>
  <c r="G47" i="1"/>
  <c r="G24" i="1"/>
  <c r="F47" i="1"/>
  <c r="F8" i="1"/>
  <c r="R8" i="1" s="1"/>
  <c r="S8" i="1" l="1"/>
  <c r="R4" i="1"/>
  <c r="S4" i="1" s="1"/>
  <c r="U5" i="1"/>
  <c r="G4" i="1"/>
  <c r="I19" i="1" l="1"/>
  <c r="I48" i="1" s="1"/>
  <c r="F19" i="1"/>
  <c r="D20" i="1" l="1"/>
  <c r="D19" i="1" s="1"/>
  <c r="E20" i="1"/>
  <c r="E19" i="1" s="1"/>
  <c r="F50" i="1"/>
  <c r="F56" i="1" s="1"/>
  <c r="D44" i="1"/>
  <c r="F24" i="1"/>
  <c r="O4" i="1"/>
  <c r="N54" i="1"/>
  <c r="N53" i="1"/>
  <c r="N52" i="1"/>
  <c r="N58" i="1" s="1"/>
  <c r="N51" i="1"/>
  <c r="N50" i="1"/>
  <c r="N56" i="1" s="1"/>
  <c r="N24" i="1"/>
  <c r="N23" i="1" s="1"/>
  <c r="N19" i="1"/>
  <c r="N48" i="1" s="1"/>
  <c r="F23" i="1" l="1"/>
  <c r="N57" i="1"/>
  <c r="H47" i="1"/>
  <c r="N60" i="1"/>
  <c r="K47" i="1"/>
  <c r="O47" i="1"/>
  <c r="M47" i="1"/>
  <c r="L47" i="1"/>
  <c r="J47" i="1"/>
  <c r="N47" i="1"/>
  <c r="N59" i="1" s="1"/>
  <c r="I47" i="1"/>
  <c r="S61" i="1"/>
  <c r="T61" i="1" s="1"/>
  <c r="N4" i="1"/>
  <c r="F52" i="1" l="1"/>
  <c r="F58" i="1" s="1"/>
  <c r="G52" i="1"/>
  <c r="G58" i="1" s="1"/>
  <c r="H52" i="1"/>
  <c r="H58" i="1" s="1"/>
  <c r="I52" i="1"/>
  <c r="I58" i="1" s="1"/>
  <c r="J52" i="1"/>
  <c r="J58" i="1" s="1"/>
  <c r="K52" i="1"/>
  <c r="K58" i="1" s="1"/>
  <c r="L52" i="1"/>
  <c r="L58" i="1" s="1"/>
  <c r="M52" i="1"/>
  <c r="M58" i="1" s="1"/>
  <c r="O52" i="1"/>
  <c r="O58" i="1" s="1"/>
  <c r="K54" i="1"/>
  <c r="K53" i="1"/>
  <c r="K59" i="1" s="1"/>
  <c r="L50" i="1"/>
  <c r="L56" i="1" s="1"/>
  <c r="E24" i="1"/>
  <c r="E23" i="1" s="1"/>
  <c r="E6" i="1"/>
  <c r="E7" i="1"/>
  <c r="E8" i="1"/>
  <c r="E18" i="1" s="1"/>
  <c r="E5" i="1"/>
  <c r="O54" i="1"/>
  <c r="L54" i="1"/>
  <c r="J54" i="1"/>
  <c r="I54" i="1"/>
  <c r="I60" i="1" s="1"/>
  <c r="H54" i="1"/>
  <c r="H60" i="1" s="1"/>
  <c r="G54" i="1"/>
  <c r="G60" i="1" s="1"/>
  <c r="F54" i="1"/>
  <c r="F60" i="1" s="1"/>
  <c r="L53" i="1"/>
  <c r="L59" i="1" s="1"/>
  <c r="H53" i="1"/>
  <c r="H59" i="1" s="1"/>
  <c r="O51" i="1"/>
  <c r="O57" i="1" s="1"/>
  <c r="M51" i="1"/>
  <c r="M57" i="1" s="1"/>
  <c r="L51" i="1"/>
  <c r="L57" i="1" s="1"/>
  <c r="K51" i="1"/>
  <c r="K57" i="1" s="1"/>
  <c r="J57" i="1"/>
  <c r="I57" i="1"/>
  <c r="H51" i="1"/>
  <c r="H57" i="1" s="1"/>
  <c r="G51" i="1"/>
  <c r="G57" i="1" s="1"/>
  <c r="F51" i="1"/>
  <c r="F57" i="1" s="1"/>
  <c r="M50" i="1"/>
  <c r="M56" i="1" s="1"/>
  <c r="I50" i="1"/>
  <c r="E36" i="1"/>
  <c r="J19" i="1"/>
  <c r="J48" i="1" s="1"/>
  <c r="K19" i="1"/>
  <c r="K48" i="1" s="1"/>
  <c r="L19" i="1"/>
  <c r="L48" i="1" s="1"/>
  <c r="L60" i="1" s="1"/>
  <c r="M19" i="1"/>
  <c r="M48" i="1" s="1"/>
  <c r="O19" i="1"/>
  <c r="O48" i="1" s="1"/>
  <c r="F34" i="1"/>
  <c r="D39" i="1"/>
  <c r="D38" i="1"/>
  <c r="G23" i="1"/>
  <c r="H23" i="1"/>
  <c r="J23" i="1"/>
  <c r="K24" i="1"/>
  <c r="K23" i="1" s="1"/>
  <c r="L24" i="1"/>
  <c r="L23" i="1" s="1"/>
  <c r="M24" i="1"/>
  <c r="M23" i="1" s="1"/>
  <c r="O24" i="1"/>
  <c r="O23" i="1" s="1"/>
  <c r="F10" i="1"/>
  <c r="F11" i="1"/>
  <c r="G11" i="1" s="1"/>
  <c r="H11" i="1" s="1"/>
  <c r="I11" i="1" s="1"/>
  <c r="J11" i="1" s="1"/>
  <c r="K11" i="1" s="1"/>
  <c r="L11" i="1" s="1"/>
  <c r="M11" i="1" s="1"/>
  <c r="N11" i="1" s="1"/>
  <c r="F12" i="1"/>
  <c r="G12" i="1" s="1"/>
  <c r="H12" i="1" s="1"/>
  <c r="I12" i="1" s="1"/>
  <c r="J12" i="1" s="1"/>
  <c r="K12" i="1" s="1"/>
  <c r="L12" i="1" s="1"/>
  <c r="M12" i="1" s="1"/>
  <c r="N12" i="1" s="1"/>
  <c r="F13" i="1"/>
  <c r="G13" i="1" s="1"/>
  <c r="H13" i="1" s="1"/>
  <c r="I13" i="1" s="1"/>
  <c r="J13" i="1" s="1"/>
  <c r="K13" i="1" s="1"/>
  <c r="L13" i="1" s="1"/>
  <c r="M13" i="1" s="1"/>
  <c r="N13" i="1" s="1"/>
  <c r="I55" i="1" l="1"/>
  <c r="I23" i="1"/>
  <c r="P23" i="1" s="1"/>
  <c r="D24" i="1"/>
  <c r="D23" i="1" s="1"/>
  <c r="D58" i="1"/>
  <c r="D57" i="1"/>
  <c r="F15" i="1"/>
  <c r="G10" i="1"/>
  <c r="F40" i="1"/>
  <c r="G34" i="1"/>
  <c r="K60" i="1"/>
  <c r="J60" i="1"/>
  <c r="J55" i="1" s="1"/>
  <c r="E45" i="1"/>
  <c r="O13" i="1"/>
  <c r="N18" i="1"/>
  <c r="O12" i="1"/>
  <c r="N17" i="1"/>
  <c r="G17" i="1"/>
  <c r="G16" i="1"/>
  <c r="O11" i="1"/>
  <c r="N16" i="1"/>
  <c r="D48" i="1"/>
  <c r="O60" i="1"/>
  <c r="E48" i="1"/>
  <c r="E60" i="1" s="1"/>
  <c r="M54" i="1"/>
  <c r="M60" i="1" s="1"/>
  <c r="I53" i="1"/>
  <c r="I59" i="1" s="1"/>
  <c r="M53" i="1"/>
  <c r="M59" i="1" s="1"/>
  <c r="F53" i="1"/>
  <c r="F59" i="1" s="1"/>
  <c r="J53" i="1"/>
  <c r="J59" i="1" s="1"/>
  <c r="O53" i="1"/>
  <c r="O59" i="1" s="1"/>
  <c r="G53" i="1"/>
  <c r="G59" i="1" s="1"/>
  <c r="J50" i="1"/>
  <c r="J56" i="1" s="1"/>
  <c r="O50" i="1"/>
  <c r="O56" i="1" s="1"/>
  <c r="O55" i="1" s="1"/>
  <c r="G50" i="1"/>
  <c r="G56" i="1" s="1"/>
  <c r="K50" i="1"/>
  <c r="K56" i="1" s="1"/>
  <c r="H50" i="1"/>
  <c r="H56" i="1" s="1"/>
  <c r="H55" i="1" s="1"/>
  <c r="E17" i="1"/>
  <c r="L18" i="1"/>
  <c r="E16" i="1"/>
  <c r="I18" i="1"/>
  <c r="F18" i="1"/>
  <c r="H18" i="1"/>
  <c r="K18" i="1"/>
  <c r="O18" i="1"/>
  <c r="D60" i="1" l="1"/>
  <c r="D59" i="1"/>
  <c r="D56" i="1"/>
  <c r="H34" i="1"/>
  <c r="G40" i="1"/>
  <c r="G36" i="1" s="1"/>
  <c r="H10" i="1"/>
  <c r="J10" i="1" s="1"/>
  <c r="K10" i="1" s="1"/>
  <c r="L10" i="1" s="1"/>
  <c r="M10" i="1" s="1"/>
  <c r="N10" i="1" s="1"/>
  <c r="G15" i="1"/>
  <c r="J18" i="1"/>
  <c r="M18" i="1"/>
  <c r="F17" i="1"/>
  <c r="K17" i="1"/>
  <c r="M17" i="1"/>
  <c r="O17" i="1"/>
  <c r="H17" i="1"/>
  <c r="L17" i="1"/>
  <c r="I17" i="1"/>
  <c r="J17" i="1"/>
  <c r="G18" i="1"/>
  <c r="D18" i="1" s="1"/>
  <c r="F16" i="1"/>
  <c r="D17" i="1" l="1"/>
  <c r="G14" i="1"/>
  <c r="I34" i="1"/>
  <c r="H40" i="1"/>
  <c r="H36" i="1" s="1"/>
  <c r="O10" i="1"/>
  <c r="N15" i="1"/>
  <c r="N14" i="1" s="1"/>
  <c r="D6" i="1"/>
  <c r="U6" i="1" s="1"/>
  <c r="D7" i="1"/>
  <c r="U7" i="1" s="1"/>
  <c r="D8" i="1"/>
  <c r="U8" i="1" s="1"/>
  <c r="K16" i="1"/>
  <c r="H16" i="1"/>
  <c r="D16" i="1" s="1"/>
  <c r="O16" i="1"/>
  <c r="J16" i="1"/>
  <c r="I16" i="1"/>
  <c r="M16" i="1"/>
  <c r="L16" i="1"/>
  <c r="N2" i="1" l="1"/>
  <c r="N69" i="1"/>
  <c r="J34" i="1"/>
  <c r="I40" i="1"/>
  <c r="I36" i="1" s="1"/>
  <c r="D46" i="1"/>
  <c r="E46" i="1" s="1"/>
  <c r="E58" i="1" s="1"/>
  <c r="D45" i="1"/>
  <c r="E57" i="1" s="1"/>
  <c r="K34" i="1" l="1"/>
  <c r="J40" i="1"/>
  <c r="D47" i="1"/>
  <c r="E47" i="1" s="1"/>
  <c r="E15" i="1"/>
  <c r="E14" i="1" s="1"/>
  <c r="F4" i="1"/>
  <c r="E4" i="1"/>
  <c r="J36" i="1" l="1"/>
  <c r="L34" i="1"/>
  <c r="K40" i="1"/>
  <c r="K36" i="1" s="1"/>
  <c r="D4" i="1"/>
  <c r="I15" i="1"/>
  <c r="I14" i="1" s="1"/>
  <c r="I4" i="1"/>
  <c r="M4" i="1"/>
  <c r="M15" i="1"/>
  <c r="M14" i="1" s="1"/>
  <c r="O15" i="1"/>
  <c r="O14" i="1" s="1"/>
  <c r="H15" i="1"/>
  <c r="L4" i="1"/>
  <c r="L15" i="1"/>
  <c r="L14" i="1" s="1"/>
  <c r="F14" i="1"/>
  <c r="K4" i="1"/>
  <c r="K15" i="1"/>
  <c r="K14" i="1" s="1"/>
  <c r="J4" i="1"/>
  <c r="J15" i="1"/>
  <c r="J14" i="1" s="1"/>
  <c r="M69" i="1" l="1"/>
  <c r="M2" i="1"/>
  <c r="K2" i="1"/>
  <c r="K69" i="1"/>
  <c r="L2" i="1"/>
  <c r="L69" i="1"/>
  <c r="J2" i="1"/>
  <c r="J1" i="1" s="1"/>
  <c r="J69" i="1"/>
  <c r="I2" i="1"/>
  <c r="I1" i="1" s="1"/>
  <c r="I69" i="1"/>
  <c r="O2" i="1"/>
  <c r="O69" i="1"/>
  <c r="H14" i="1"/>
  <c r="H2" i="1" s="1"/>
  <c r="D15" i="1"/>
  <c r="M34" i="1"/>
  <c r="L40" i="1"/>
  <c r="K1" i="1"/>
  <c r="E59" i="1"/>
  <c r="H69" i="1" l="1"/>
  <c r="H1" i="1"/>
  <c r="G1" i="1"/>
  <c r="F1" i="1"/>
  <c r="L36" i="1"/>
  <c r="L1" i="1" s="1"/>
  <c r="N34" i="1"/>
  <c r="M40" i="1"/>
  <c r="M36" i="1" s="1"/>
  <c r="M1" i="1" s="1"/>
  <c r="E44" i="1"/>
  <c r="E56" i="1" s="1"/>
  <c r="E55" i="1" s="1"/>
  <c r="E2" i="1" s="1"/>
  <c r="O34" i="1" l="1"/>
  <c r="O40" i="1" s="1"/>
  <c r="D40" i="1" s="1"/>
  <c r="D36" i="1" s="1"/>
  <c r="D2" i="1" s="1"/>
  <c r="N40" i="1"/>
  <c r="N36" i="1" s="1"/>
  <c r="N1" i="1" s="1"/>
  <c r="O36" i="1" l="1"/>
  <c r="P36" i="1" l="1"/>
  <c r="D1" i="1"/>
  <c r="O1" i="1" l="1"/>
  <c r="P2" i="1"/>
  <c r="Q25" i="1"/>
  <c r="Q38" i="1"/>
</calcChain>
</file>

<file path=xl/sharedStrings.xml><?xml version="1.0" encoding="utf-8"?>
<sst xmlns="http://schemas.openxmlformats.org/spreadsheetml/2006/main" count="227" uniqueCount="51">
  <si>
    <t>№п/п</t>
  </si>
  <si>
    <t>1.</t>
  </si>
  <si>
    <t>Приобретение интеллектуальных ПУ, в т.ч</t>
  </si>
  <si>
    <t>1-фазные ПУ прямого включения</t>
  </si>
  <si>
    <t>ОДПУ</t>
  </si>
  <si>
    <t>ед.изм.</t>
  </si>
  <si>
    <t>шт.</t>
  </si>
  <si>
    <t>3-х фазные ПУ прямого включения юр.л.</t>
  </si>
  <si>
    <t>3-х фазные ПУ прямого включения физ.л.</t>
  </si>
  <si>
    <t>Ежегодный резервный фонд (2%)</t>
  </si>
  <si>
    <t>Стоимость приборов учета</t>
  </si>
  <si>
    <t>Цена прибора учета</t>
  </si>
  <si>
    <t>руб./шт. с НДС</t>
  </si>
  <si>
    <t>руб. с НДС</t>
  </si>
  <si>
    <t>-</t>
  </si>
  <si>
    <t>Приобретение базовых станций для передачи данных, в т.ч</t>
  </si>
  <si>
    <t>LRST-VGA-2A9</t>
  </si>
  <si>
    <t>Цена базовой станции</t>
  </si>
  <si>
    <t>2.</t>
  </si>
  <si>
    <t>3.</t>
  </si>
  <si>
    <t>Приобретение ПО, в т.ч</t>
  </si>
  <si>
    <t>Цена ПО</t>
  </si>
  <si>
    <t>Стоимость ПО</t>
  </si>
  <si>
    <t>Sophrosyne.Monitoring</t>
  </si>
  <si>
    <t>Установка и наладка ПО</t>
  </si>
  <si>
    <t>Техническая поддержка</t>
  </si>
  <si>
    <t>Стоимость базовых станций</t>
  </si>
  <si>
    <t>СМР, ПНР, в т.ч.</t>
  </si>
  <si>
    <t>Монтаж 1ф ПУ</t>
  </si>
  <si>
    <t>Монтаж 3ф ПУ</t>
  </si>
  <si>
    <t xml:space="preserve">Монтаж 3ф ПУ с комплектом ТТ </t>
  </si>
  <si>
    <t>Монтаж коммуникационного оборудования</t>
  </si>
  <si>
    <t>Цена СМР, ПНР, в т.ч.</t>
  </si>
  <si>
    <t>Стоимость СМР, ПНР, в т.ч.</t>
  </si>
  <si>
    <t>Наладочные работы</t>
  </si>
  <si>
    <t>4.</t>
  </si>
  <si>
    <t>Всего под программу</t>
  </si>
  <si>
    <t>5.</t>
  </si>
  <si>
    <t>Разница по 3 годам</t>
  </si>
  <si>
    <t>Проверка</t>
  </si>
  <si>
    <t>Приобретение оборудования, программного обеспечения, стоимость работ в рамках ИСУ ЭЭ ООО "Иркутскэнергосбыт"</t>
  </si>
  <si>
    <t>Стоимость ИСУ ЭЭ. Всего и по годам:</t>
  </si>
  <si>
    <t>Уровень инфляции</t>
  </si>
  <si>
    <t>LPWAN.SmartGrid, лицензия на 350 базовых станций</t>
  </si>
  <si>
    <t>Sophrosyne.Monitoring на 350 базовых станций</t>
  </si>
  <si>
    <t>Программное обеспечение сбора, обработки и анализа данных (ЦОД)</t>
  </si>
  <si>
    <t xml:space="preserve">Серверное оборудование.  </t>
  </si>
  <si>
    <t>сервер 3. Хранение данных</t>
  </si>
  <si>
    <t>Сервер 2. Ядро платформы</t>
  </si>
  <si>
    <t>Сервер 1. Платформенные сервисы и DLMS Ассистент</t>
  </si>
  <si>
    <t>1-фазные ПУ прямого включения 625164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</si>
</sst>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??_р_._-;_-@_-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6" fontId="2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/>
    <xf numFmtId="3" fontId="0" fillId="0" borderId="0" xfId="0" applyNumberFormat="1"/>
    <xf numFmtId="4" fontId="0" fillId="0" borderId="1" xfId="0" applyNumberFormat="1" applyBorder="1"/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left" vertical="center"/>
    </xf>
    <xf numFmtId="3" fontId="0" fillId="0" borderId="2" xfId="0" applyNumberFormat="1" applyFill="1" applyBorder="1"/>
    <xf numFmtId="1" fontId="0" fillId="0" borderId="0" xfId="0" applyNumberFormat="1"/>
    <xf numFmtId="164" fontId="0" fillId="0" borderId="0" xfId="0" applyNumberFormat="1"/>
    <xf numFmtId="0" fontId="0" fillId="2" borderId="1" xfId="0" applyFill="1" applyBorder="1" applyAlignment="1">
      <alignment horizontal="center" vertical="center" wrapText="1"/>
    </xf>
    <xf numFmtId="4" fontId="0" fillId="2" borderId="1" xfId="0" applyNumberFormat="1" applyFill="1" applyBorder="1"/>
    <xf numFmtId="3" fontId="0" fillId="2" borderId="1" xfId="0" applyNumberFormat="1" applyFill="1" applyBorder="1" applyAlignment="1">
      <alignment vertical="center"/>
    </xf>
    <xf numFmtId="3" fontId="0" fillId="2" borderId="1" xfId="0" applyNumberFormat="1" applyFill="1" applyBorder="1"/>
    <xf numFmtId="0" fontId="0" fillId="2" borderId="1" xfId="0" applyFill="1" applyBorder="1" applyAlignment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1" fillId="0" borderId="1" xfId="0" applyFont="1" applyBorder="1"/>
    <xf numFmtId="3" fontId="1" fillId="0" borderId="1" xfId="0" applyNumberFormat="1" applyFont="1" applyBorder="1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6" fontId="0" fillId="0" borderId="0" xfId="1" applyFont="1"/>
    <xf numFmtId="167" fontId="0" fillId="0" borderId="0" xfId="1" applyNumberFormat="1" applyFont="1"/>
    <xf numFmtId="166" fontId="0" fillId="0" borderId="0" xfId="0" applyNumberFormat="1"/>
    <xf numFmtId="0" fontId="0" fillId="4" borderId="0" xfId="0" applyFill="1"/>
    <xf numFmtId="9" fontId="0" fillId="4" borderId="0" xfId="0" applyNumberFormat="1" applyFill="1"/>
    <xf numFmtId="167" fontId="0" fillId="0" borderId="1" xfId="1" applyNumberFormat="1" applyFont="1" applyBorder="1"/>
    <xf numFmtId="165" fontId="0" fillId="0" borderId="0" xfId="0" applyNumberFormat="1"/>
    <xf numFmtId="0" fontId="0" fillId="5" borderId="1" xfId="0" applyFill="1" applyBorder="1" applyAlignment="1">
      <alignment horizontal="left" vertical="center"/>
    </xf>
    <xf numFmtId="4" fontId="0" fillId="5" borderId="1" xfId="0" applyNumberFormat="1" applyFill="1" applyBorder="1" applyAlignment="1">
      <alignment horizontal="center" vertical="center"/>
    </xf>
    <xf numFmtId="4" fontId="0" fillId="5" borderId="1" xfId="0" applyNumberFormat="1" applyFill="1" applyBorder="1"/>
    <xf numFmtId="3" fontId="0" fillId="5" borderId="1" xfId="0" applyNumberFormat="1" applyFill="1" applyBorder="1" applyAlignment="1">
      <alignment vertical="center"/>
    </xf>
    <xf numFmtId="3" fontId="1" fillId="0" borderId="0" xfId="0" applyNumberFormat="1" applyFont="1"/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left" vertical="center"/>
    </xf>
    <xf numFmtId="3" fontId="0" fillId="2" borderId="1" xfId="0" applyNumberForma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right" vertical="center"/>
    </xf>
    <xf numFmtId="0" fontId="0" fillId="2" borderId="1" xfId="0" applyFill="1" applyBorder="1" applyAlignment="1">
      <alignment horizontal="left" vertical="center" wrapText="1"/>
    </xf>
    <xf numFmtId="3" fontId="0" fillId="0" borderId="7" xfId="0" applyNumberFormat="1" applyFill="1" applyBorder="1"/>
    <xf numFmtId="3" fontId="0" fillId="3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3" fontId="1" fillId="4" borderId="1" xfId="0" applyNumberFormat="1" applyFont="1" applyFill="1" applyBorder="1"/>
    <xf numFmtId="4" fontId="0" fillId="0" borderId="0" xfId="0" applyNumberFormat="1"/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69;&#1057;&#1041;&#1050;/&#1048;&#1040;/F-SHARE03-SIP/&#1054;&#1073;&#1097;&#1080;&#1077;%20&#1087;&#1072;&#1087;&#1082;&#1080;/&#1055;&#1058;&#1054;/&#1051;&#1099;&#1089;&#1077;&#1085;&#1082;&#1086;%20&#1042;.&#1042;/&#1056;&#1072;&#1073;&#1086;&#1095;&#1080;&#1081;%20&#1082;&#1086;&#1084;&#1087;&#1100;&#1102;&#1090;&#1077;&#1088;/&#1040;&#1048;&#1048;&#1057;&#1050;&#1059;&#1069;/&#1042;&#1085;&#1085;&#1077;&#1076;&#1088;&#1077;&#1085;&#1080;&#1077;%20522-&#1060;&#1047;/&#1056;&#1077;&#1072;&#1083;&#1080;&#1079;&#1072;&#1094;&#1080;&#1103;%20522-&#1060;&#1047;/&#1055;&#1088;&#1080;&#1093;&#1086;&#1076;%20&#1085;&#1072;%20&#1079;&#1072;&#1087;&#1088;&#1086;&#1089;/&#1056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5">
          <cell r="D5">
            <v>625164.00000000012</v>
          </cell>
        </row>
        <row r="6">
          <cell r="D6">
            <v>82605.900000000023</v>
          </cell>
        </row>
        <row r="7">
          <cell r="D7">
            <v>14888.059999999998</v>
          </cell>
        </row>
        <row r="8">
          <cell r="D8">
            <v>27178.94</v>
          </cell>
        </row>
        <row r="58">
          <cell r="D58">
            <v>2401982252.8063126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4"/>
  <sheetViews>
    <sheetView tabSelected="1" zoomScale="70" zoomScaleNormal="70" workbookViewId="0">
      <selection sqref="A1:O64"/>
    </sheetView>
  </sheetViews>
  <sheetFormatPr defaultRowHeight="15" x14ac:dyDescent="0.25"/>
  <cols>
    <col min="1" max="1" width="7.140625" customWidth="1"/>
    <col min="2" max="2" width="57" style="12" bestFit="1" customWidth="1"/>
    <col min="3" max="3" width="12.85546875" customWidth="1"/>
    <col min="4" max="4" width="21.85546875" bestFit="1" customWidth="1"/>
    <col min="5" max="5" width="22.7109375" bestFit="1" customWidth="1"/>
    <col min="6" max="6" width="16.5703125" bestFit="1" customWidth="1"/>
    <col min="7" max="7" width="17.28515625" customWidth="1"/>
    <col min="8" max="8" width="16.28515625" bestFit="1" customWidth="1"/>
    <col min="9" max="9" width="17.85546875" bestFit="1" customWidth="1"/>
    <col min="10" max="10" width="16.140625" customWidth="1"/>
    <col min="11" max="11" width="17" bestFit="1" customWidth="1"/>
    <col min="12" max="12" width="15.85546875" customWidth="1"/>
    <col min="13" max="15" width="16.5703125" bestFit="1" customWidth="1"/>
    <col min="16" max="16" width="12.85546875" bestFit="1" customWidth="1"/>
    <col min="17" max="17" width="15.7109375" bestFit="1" customWidth="1"/>
    <col min="18" max="18" width="8.85546875" customWidth="1"/>
    <col min="19" max="19" width="12.28515625" customWidth="1"/>
    <col min="20" max="20" width="14" customWidth="1"/>
    <col min="21" max="21" width="8.85546875" customWidth="1"/>
  </cols>
  <sheetData>
    <row r="1" spans="1:21" x14ac:dyDescent="0.25">
      <c r="D1" s="29">
        <f>D2/1.2</f>
        <v>4710731143.5289707</v>
      </c>
      <c r="F1" s="29">
        <f t="shared" ref="F1:O1" si="0">F2/1.2</f>
        <v>179166942.45233336</v>
      </c>
      <c r="G1" s="29">
        <f t="shared" si="0"/>
        <v>179166705.81</v>
      </c>
      <c r="H1" s="29">
        <f t="shared" si="0"/>
        <v>189383546.30450001</v>
      </c>
      <c r="I1" s="29">
        <f t="shared" si="0"/>
        <v>558631546.01144803</v>
      </c>
      <c r="J1" s="29">
        <f t="shared" si="0"/>
        <v>576976094.31291568</v>
      </c>
      <c r="K1" s="29">
        <f t="shared" si="0"/>
        <v>564683758.98501086</v>
      </c>
      <c r="L1" s="29">
        <f t="shared" si="0"/>
        <v>584907907.70926142</v>
      </c>
      <c r="M1" s="29">
        <f t="shared" si="0"/>
        <v>606143263.86972451</v>
      </c>
      <c r="N1" s="29">
        <f t="shared" si="0"/>
        <v>628440387.83821082</v>
      </c>
      <c r="O1" s="29">
        <f t="shared" si="0"/>
        <v>643230990.2355665</v>
      </c>
    </row>
    <row r="2" spans="1:21" x14ac:dyDescent="0.25">
      <c r="A2" s="56" t="s">
        <v>41</v>
      </c>
      <c r="B2" s="57"/>
      <c r="C2" s="23"/>
      <c r="D2" s="24">
        <f>D14+D23+D36+D55+D61+D41</f>
        <v>5652877372.2347651</v>
      </c>
      <c r="E2" s="24">
        <f>E14+E23+E36+E55+E61</f>
        <v>119857554.42640001</v>
      </c>
      <c r="F2" s="49">
        <f>F14+F23+F36+F55+F61+F41+F59</f>
        <v>215000330.94280002</v>
      </c>
      <c r="G2" s="49">
        <f>G14+G23+G36+G55+G61+G59</f>
        <v>215000046.972</v>
      </c>
      <c r="H2" s="49">
        <f>H14+H23+H36+H55+H61+H59</f>
        <v>227260255.5654</v>
      </c>
      <c r="I2" s="49">
        <f t="shared" ref="I2:O2" si="1">I14+I23+I36+I55+I61+I59</f>
        <v>670357855.21373761</v>
      </c>
      <c r="J2" s="49">
        <f t="shared" si="1"/>
        <v>692371313.17549884</v>
      </c>
      <c r="K2" s="49">
        <f t="shared" si="1"/>
        <v>677620510.78201306</v>
      </c>
      <c r="L2" s="49">
        <f t="shared" si="1"/>
        <v>701889489.25111365</v>
      </c>
      <c r="M2" s="49">
        <f t="shared" si="1"/>
        <v>727371916.64366937</v>
      </c>
      <c r="N2" s="49">
        <f t="shared" si="1"/>
        <v>754128465.40585291</v>
      </c>
      <c r="O2" s="49">
        <f t="shared" si="1"/>
        <v>771877188.2826798</v>
      </c>
      <c r="P2" s="6">
        <f>SUM(F2:O2)</f>
        <v>5652877372.2347651</v>
      </c>
      <c r="R2" t="s">
        <v>38</v>
      </c>
      <c r="U2" t="s">
        <v>39</v>
      </c>
    </row>
    <row r="3" spans="1:21" s="1" customFormat="1" ht="45" x14ac:dyDescent="0.25">
      <c r="A3" s="2" t="s">
        <v>0</v>
      </c>
      <c r="B3" s="10" t="s">
        <v>40</v>
      </c>
      <c r="C3" s="2" t="s">
        <v>5</v>
      </c>
      <c r="D3" s="2" t="s">
        <v>36</v>
      </c>
      <c r="E3" s="2" t="s">
        <v>9</v>
      </c>
      <c r="F3" s="17">
        <v>2021</v>
      </c>
      <c r="G3" s="17">
        <v>2022</v>
      </c>
      <c r="H3" s="17">
        <v>2023</v>
      </c>
      <c r="I3" s="2">
        <v>2024</v>
      </c>
      <c r="J3" s="2">
        <v>2025</v>
      </c>
      <c r="K3" s="2">
        <v>2026</v>
      </c>
      <c r="L3" s="2">
        <v>2027</v>
      </c>
      <c r="M3" s="2">
        <v>2028</v>
      </c>
      <c r="N3" s="2">
        <v>2029</v>
      </c>
      <c r="O3" s="2">
        <v>2030</v>
      </c>
    </row>
    <row r="4" spans="1:21" x14ac:dyDescent="0.25">
      <c r="A4" s="54" t="s">
        <v>1</v>
      </c>
      <c r="B4" s="11" t="s">
        <v>2</v>
      </c>
      <c r="C4" s="4" t="s">
        <v>6</v>
      </c>
      <c r="D4" s="9">
        <f>SUM(D5:D8)</f>
        <v>763654</v>
      </c>
      <c r="E4" s="9">
        <f t="shared" ref="E4:M4" si="2">SUM(E5:E8)</f>
        <v>12709.1</v>
      </c>
      <c r="F4" s="9">
        <f t="shared" si="2"/>
        <v>36716</v>
      </c>
      <c r="G4" s="9">
        <f>SUM(G5:G8)</f>
        <v>37550</v>
      </c>
      <c r="H4" s="9">
        <f>SUM(H5:H8)</f>
        <v>37742</v>
      </c>
      <c r="I4" s="9">
        <f t="shared" si="2"/>
        <v>98450</v>
      </c>
      <c r="J4" s="9">
        <f t="shared" si="2"/>
        <v>94587</v>
      </c>
      <c r="K4" s="9">
        <f t="shared" si="2"/>
        <v>92004</v>
      </c>
      <c r="L4" s="9">
        <f t="shared" si="2"/>
        <v>92004</v>
      </c>
      <c r="M4" s="9">
        <f t="shared" si="2"/>
        <v>92004</v>
      </c>
      <c r="N4" s="9">
        <f t="shared" ref="N4" si="3">SUM(N5:N8)</f>
        <v>92004</v>
      </c>
      <c r="O4" s="9">
        <f>SUM(O5:O8)</f>
        <v>90593</v>
      </c>
      <c r="P4" s="13">
        <v>635455</v>
      </c>
      <c r="R4" s="9">
        <f t="shared" ref="R4" si="4">SUM(R5:R8)</f>
        <v>637828.90000000014</v>
      </c>
      <c r="S4" s="15">
        <f>R4/7</f>
        <v>91118.414285714302</v>
      </c>
    </row>
    <row r="5" spans="1:21" x14ac:dyDescent="0.25">
      <c r="A5" s="54"/>
      <c r="B5" s="11" t="s">
        <v>50</v>
      </c>
      <c r="C5" s="4" t="s">
        <v>6</v>
      </c>
      <c r="D5" s="5">
        <f>SUM(F5:O5)</f>
        <v>680725</v>
      </c>
      <c r="E5" s="5">
        <f>P5*0.02</f>
        <v>10596</v>
      </c>
      <c r="F5" s="5">
        <v>36427</v>
      </c>
      <c r="G5" s="5">
        <v>36179</v>
      </c>
      <c r="H5" s="5">
        <v>36180</v>
      </c>
      <c r="I5" s="5">
        <v>87318</v>
      </c>
      <c r="J5" s="5">
        <v>81000</v>
      </c>
      <c r="K5" s="5">
        <v>81000</v>
      </c>
      <c r="L5" s="5">
        <v>81000</v>
      </c>
      <c r="M5" s="5">
        <v>81000</v>
      </c>
      <c r="N5" s="5">
        <v>81000</v>
      </c>
      <c r="O5" s="5">
        <f>Q5-N5-M5-L5-K5-J5-I5-H5-G5-F5</f>
        <v>79621</v>
      </c>
      <c r="P5" s="13">
        <v>529800</v>
      </c>
      <c r="Q5" s="46">
        <v>680725</v>
      </c>
      <c r="R5" s="6">
        <f>[1]Лист1!$D$5-F5-G5-H5</f>
        <v>516378.00000000012</v>
      </c>
      <c r="S5" s="15">
        <f t="shared" ref="S5:S8" si="5">R5/7</f>
        <v>73768.285714285725</v>
      </c>
      <c r="T5">
        <v>83564</v>
      </c>
      <c r="U5" s="6">
        <f>D5-[1]Лист1!$D$5</f>
        <v>55560.999999999884</v>
      </c>
    </row>
    <row r="6" spans="1:21" x14ac:dyDescent="0.25">
      <c r="A6" s="54"/>
      <c r="B6" s="11" t="s">
        <v>8</v>
      </c>
      <c r="C6" s="4" t="s">
        <v>6</v>
      </c>
      <c r="D6" s="5">
        <f>SUM(F6:O6)</f>
        <v>40862</v>
      </c>
      <c r="E6" s="5">
        <f t="shared" ref="E6:E8" si="6">P6*0.02</f>
        <v>1400.1000000000001</v>
      </c>
      <c r="F6" s="5">
        <v>135</v>
      </c>
      <c r="G6" s="5">
        <v>877</v>
      </c>
      <c r="H6" s="5">
        <v>900</v>
      </c>
      <c r="I6" s="5">
        <v>5423</v>
      </c>
      <c r="J6" s="5">
        <v>7082</v>
      </c>
      <c r="K6" s="5">
        <v>5295</v>
      </c>
      <c r="L6" s="5">
        <v>5295</v>
      </c>
      <c r="M6" s="5">
        <v>5295</v>
      </c>
      <c r="N6" s="5">
        <v>5295</v>
      </c>
      <c r="O6" s="5">
        <v>5265</v>
      </c>
      <c r="P6" s="13">
        <v>70005</v>
      </c>
      <c r="R6" s="6">
        <f>[1]Лист1!$D$6-F6-G6-H6</f>
        <v>80693.900000000023</v>
      </c>
      <c r="S6" s="15">
        <f t="shared" si="5"/>
        <v>11527.700000000003</v>
      </c>
      <c r="T6">
        <v>11436</v>
      </c>
      <c r="U6" s="6">
        <f>D6-[1]Лист1!$D$6</f>
        <v>-41743.900000000023</v>
      </c>
    </row>
    <row r="7" spans="1:21" x14ac:dyDescent="0.25">
      <c r="A7" s="54"/>
      <c r="B7" s="11" t="s">
        <v>7</v>
      </c>
      <c r="C7" s="4" t="s">
        <v>6</v>
      </c>
      <c r="D7" s="5">
        <f>SUM(F7:O7)</f>
        <v>14888</v>
      </c>
      <c r="E7" s="5">
        <f t="shared" si="6"/>
        <v>252.34</v>
      </c>
      <c r="F7" s="5">
        <v>65</v>
      </c>
      <c r="G7" s="5">
        <v>196</v>
      </c>
      <c r="H7" s="5">
        <v>200</v>
      </c>
      <c r="I7" s="5">
        <v>1977</v>
      </c>
      <c r="J7" s="5">
        <v>2566</v>
      </c>
      <c r="K7" s="5">
        <v>1977</v>
      </c>
      <c r="L7" s="5">
        <v>1977</v>
      </c>
      <c r="M7" s="5">
        <v>1977</v>
      </c>
      <c r="N7" s="5">
        <v>1977</v>
      </c>
      <c r="O7" s="5">
        <f>1977-1</f>
        <v>1976</v>
      </c>
      <c r="P7" s="13">
        <v>12617</v>
      </c>
      <c r="R7" s="6">
        <f>[1]Лист1!$D$7-F7-G7-H7</f>
        <v>14427.059999999998</v>
      </c>
      <c r="S7" s="15">
        <f t="shared" si="5"/>
        <v>2061.008571428571</v>
      </c>
      <c r="T7">
        <v>2017</v>
      </c>
      <c r="U7" s="6">
        <f>D7-[1]Лист1!$D$7</f>
        <v>-5.9999999997671694E-2</v>
      </c>
    </row>
    <row r="8" spans="1:21" x14ac:dyDescent="0.25">
      <c r="A8" s="54"/>
      <c r="B8" s="11" t="s">
        <v>4</v>
      </c>
      <c r="C8" s="4" t="s">
        <v>6</v>
      </c>
      <c r="D8" s="5">
        <f>SUM(F8:O8)</f>
        <v>27179</v>
      </c>
      <c r="E8" s="5">
        <f t="shared" si="6"/>
        <v>460.66</v>
      </c>
      <c r="F8" s="5">
        <f>87+2</f>
        <v>89</v>
      </c>
      <c r="G8" s="5">
        <v>298</v>
      </c>
      <c r="H8" s="5">
        <v>462</v>
      </c>
      <c r="I8" s="5">
        <v>3732</v>
      </c>
      <c r="J8" s="5">
        <v>3939</v>
      </c>
      <c r="K8" s="5">
        <v>3732</v>
      </c>
      <c r="L8" s="5">
        <v>3732</v>
      </c>
      <c r="M8" s="5">
        <v>3732</v>
      </c>
      <c r="N8" s="5">
        <v>3732</v>
      </c>
      <c r="O8" s="5">
        <f>3732-1</f>
        <v>3731</v>
      </c>
      <c r="P8" s="13">
        <v>23033</v>
      </c>
      <c r="R8" s="6">
        <f>[1]Лист1!$D$8-F8-G8-H8</f>
        <v>26329.94</v>
      </c>
      <c r="S8" s="15">
        <f t="shared" si="5"/>
        <v>3761.4199999999996</v>
      </c>
      <c r="T8">
        <v>3774</v>
      </c>
      <c r="U8" s="6">
        <f>D8-[1]Лист1!$D$8</f>
        <v>6.0000000001309672E-2</v>
      </c>
    </row>
    <row r="9" spans="1:21" x14ac:dyDescent="0.25">
      <c r="A9" s="54"/>
      <c r="B9" s="11" t="s">
        <v>11</v>
      </c>
      <c r="C9" s="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21" x14ac:dyDescent="0.25">
      <c r="A10" s="54"/>
      <c r="B10" s="11" t="s">
        <v>3</v>
      </c>
      <c r="C10" s="4" t="s">
        <v>12</v>
      </c>
      <c r="D10" s="20">
        <v>3525.33</v>
      </c>
      <c r="E10" s="43" t="s">
        <v>14</v>
      </c>
      <c r="F10" s="20">
        <f t="shared" ref="F10" si="7">$D10</f>
        <v>3525.33</v>
      </c>
      <c r="G10" s="20">
        <f t="shared" ref="G10:O12" si="8">F10*(1+$S$11)</f>
        <v>3701.5965000000001</v>
      </c>
      <c r="H10" s="20">
        <f t="shared" si="8"/>
        <v>3886.6763250000004</v>
      </c>
      <c r="I10" s="20">
        <f>H10*(1+$S$11)</f>
        <v>4081.0101412500007</v>
      </c>
      <c r="J10" s="20">
        <f t="shared" si="8"/>
        <v>4285.0606483125011</v>
      </c>
      <c r="K10" s="20">
        <f t="shared" si="8"/>
        <v>4499.3136807281262</v>
      </c>
      <c r="L10" s="20">
        <f t="shared" si="8"/>
        <v>4724.2793647645331</v>
      </c>
      <c r="M10" s="20">
        <f t="shared" si="8"/>
        <v>4960.4933330027598</v>
      </c>
      <c r="N10" s="20">
        <f t="shared" si="8"/>
        <v>5208.5179996528977</v>
      </c>
      <c r="O10" s="20">
        <f t="shared" si="8"/>
        <v>5468.9438996355429</v>
      </c>
      <c r="P10" s="6"/>
    </row>
    <row r="11" spans="1:21" x14ac:dyDescent="0.25">
      <c r="A11" s="54"/>
      <c r="B11" s="11" t="s">
        <v>8</v>
      </c>
      <c r="C11" s="4" t="s">
        <v>12</v>
      </c>
      <c r="D11" s="20">
        <v>8648.81</v>
      </c>
      <c r="E11" s="43" t="s">
        <v>14</v>
      </c>
      <c r="F11" s="20">
        <f t="shared" ref="F11:F13" si="9">$D11</f>
        <v>8648.81</v>
      </c>
      <c r="G11" s="20">
        <f t="shared" si="8"/>
        <v>9081.2505000000001</v>
      </c>
      <c r="H11" s="20">
        <f t="shared" si="8"/>
        <v>9535.3130250000013</v>
      </c>
      <c r="I11" s="20">
        <f t="shared" si="8"/>
        <v>10012.078676250001</v>
      </c>
      <c r="J11" s="20">
        <f t="shared" si="8"/>
        <v>10512.682610062502</v>
      </c>
      <c r="K11" s="20">
        <f t="shared" si="8"/>
        <v>11038.316740565628</v>
      </c>
      <c r="L11" s="20">
        <f t="shared" si="8"/>
        <v>11590.23257759391</v>
      </c>
      <c r="M11" s="20">
        <f t="shared" si="8"/>
        <v>12169.744206473606</v>
      </c>
      <c r="N11" s="20">
        <f t="shared" si="8"/>
        <v>12778.231416797287</v>
      </c>
      <c r="O11" s="20">
        <f t="shared" si="8"/>
        <v>13417.142987637153</v>
      </c>
      <c r="P11" s="39"/>
      <c r="R11" s="31" t="s">
        <v>42</v>
      </c>
      <c r="S11" s="32">
        <v>0.05</v>
      </c>
    </row>
    <row r="12" spans="1:21" x14ac:dyDescent="0.25">
      <c r="A12" s="54"/>
      <c r="B12" s="11" t="s">
        <v>7</v>
      </c>
      <c r="C12" s="4" t="s">
        <v>12</v>
      </c>
      <c r="D12" s="20">
        <v>8648.81</v>
      </c>
      <c r="E12" s="43" t="s">
        <v>14</v>
      </c>
      <c r="F12" s="20">
        <f t="shared" si="9"/>
        <v>8648.81</v>
      </c>
      <c r="G12" s="20">
        <f t="shared" si="8"/>
        <v>9081.2505000000001</v>
      </c>
      <c r="H12" s="20">
        <f t="shared" si="8"/>
        <v>9535.3130250000013</v>
      </c>
      <c r="I12" s="20">
        <f t="shared" si="8"/>
        <v>10012.078676250001</v>
      </c>
      <c r="J12" s="20">
        <f t="shared" si="8"/>
        <v>10512.682610062502</v>
      </c>
      <c r="K12" s="20">
        <f t="shared" si="8"/>
        <v>11038.316740565628</v>
      </c>
      <c r="L12" s="20">
        <f t="shared" si="8"/>
        <v>11590.23257759391</v>
      </c>
      <c r="M12" s="20">
        <f t="shared" si="8"/>
        <v>12169.744206473606</v>
      </c>
      <c r="N12" s="20">
        <f t="shared" si="8"/>
        <v>12778.231416797287</v>
      </c>
      <c r="O12" s="20">
        <f t="shared" si="8"/>
        <v>13417.142987637153</v>
      </c>
      <c r="P12" s="6"/>
    </row>
    <row r="13" spans="1:21" x14ac:dyDescent="0.25">
      <c r="A13" s="54"/>
      <c r="B13" s="11" t="s">
        <v>4</v>
      </c>
      <c r="C13" s="4" t="s">
        <v>12</v>
      </c>
      <c r="D13" s="20">
        <v>8296.2800000000007</v>
      </c>
      <c r="E13" s="43" t="s">
        <v>14</v>
      </c>
      <c r="F13" s="20">
        <f t="shared" si="9"/>
        <v>8296.2800000000007</v>
      </c>
      <c r="G13" s="20">
        <f>F13*(1+$S$11)</f>
        <v>8711.094000000001</v>
      </c>
      <c r="H13" s="20">
        <f t="shared" ref="H13:O13" si="10">G13*(1+$S$11)</f>
        <v>9146.6487000000016</v>
      </c>
      <c r="I13" s="20">
        <f t="shared" si="10"/>
        <v>9603.9811350000018</v>
      </c>
      <c r="J13" s="20">
        <f t="shared" si="10"/>
        <v>10084.180191750002</v>
      </c>
      <c r="K13" s="20">
        <f t="shared" si="10"/>
        <v>10588.389201337503</v>
      </c>
      <c r="L13" s="20">
        <f t="shared" si="10"/>
        <v>11117.808661404379</v>
      </c>
      <c r="M13" s="20">
        <f t="shared" si="10"/>
        <v>11673.699094474598</v>
      </c>
      <c r="N13" s="20">
        <f t="shared" si="10"/>
        <v>12257.384049198328</v>
      </c>
      <c r="O13" s="20">
        <f t="shared" si="10"/>
        <v>12870.253251658245</v>
      </c>
      <c r="P13" s="6"/>
    </row>
    <row r="14" spans="1:21" x14ac:dyDescent="0.25">
      <c r="A14" s="54"/>
      <c r="B14" s="26" t="s">
        <v>10</v>
      </c>
      <c r="C14" s="27" t="s">
        <v>13</v>
      </c>
      <c r="D14" s="47">
        <f>SUM(D15:D18)</f>
        <v>4054705969.4999714</v>
      </c>
      <c r="E14" s="47">
        <f t="shared" ref="E14:O14" si="11">SUM(E15:E18)</f>
        <v>55467800.62120001</v>
      </c>
      <c r="F14" s="47">
        <f t="shared" si="11"/>
        <v>130885326.83</v>
      </c>
      <c r="G14" s="47">
        <f>SUM(G15:G18)</f>
        <v>146260147.572</v>
      </c>
      <c r="H14" s="47">
        <f t="shared" si="11"/>
        <v>155334545.46540001</v>
      </c>
      <c r="I14" s="47">
        <f t="shared" si="11"/>
        <v>466277083.31373763</v>
      </c>
      <c r="J14" s="47">
        <f t="shared" si="11"/>
        <v>488237860.11049879</v>
      </c>
      <c r="K14" s="47">
        <f t="shared" si="11"/>
        <v>484230915.97576308</v>
      </c>
      <c r="L14" s="47">
        <f t="shared" si="11"/>
        <v>508442461.77455115</v>
      </c>
      <c r="M14" s="47">
        <f t="shared" si="11"/>
        <v>533864584.86327881</v>
      </c>
      <c r="N14" s="47">
        <f t="shared" ref="N14" si="12">SUM(N15:N18)</f>
        <v>560557814.10644281</v>
      </c>
      <c r="O14" s="47">
        <f t="shared" si="11"/>
        <v>580615229.48829913</v>
      </c>
      <c r="P14" s="6">
        <f>SUM(F14:O14)</f>
        <v>4054705969.4999714</v>
      </c>
    </row>
    <row r="15" spans="1:21" x14ac:dyDescent="0.25">
      <c r="A15" s="54"/>
      <c r="B15" s="11" t="s">
        <v>3</v>
      </c>
      <c r="C15" s="4" t="s">
        <v>13</v>
      </c>
      <c r="D15" s="20">
        <f>SUM(F15:O15)</f>
        <v>3112636498.0118756</v>
      </c>
      <c r="E15" s="20">
        <f>E5*D10</f>
        <v>37354396.68</v>
      </c>
      <c r="F15" s="20">
        <f>F5*F10</f>
        <v>128417195.91</v>
      </c>
      <c r="G15" s="5">
        <f>G5*G10</f>
        <v>133920059.77350001</v>
      </c>
      <c r="H15" s="5">
        <f t="shared" ref="H15:O15" si="13">H5*H10</f>
        <v>140619949.43850002</v>
      </c>
      <c r="I15" s="5">
        <f t="shared" si="13"/>
        <v>356345643.51366758</v>
      </c>
      <c r="J15" s="5">
        <f t="shared" si="13"/>
        <v>347089912.51331258</v>
      </c>
      <c r="K15" s="5">
        <f t="shared" si="13"/>
        <v>364444408.13897824</v>
      </c>
      <c r="L15" s="5">
        <f t="shared" si="13"/>
        <v>382666628.54592717</v>
      </c>
      <c r="M15" s="5">
        <f t="shared" si="13"/>
        <v>401799959.97322357</v>
      </c>
      <c r="N15" s="5">
        <f t="shared" ref="N15" si="14">N5*N10</f>
        <v>421889957.97188473</v>
      </c>
      <c r="O15" s="5">
        <f t="shared" si="13"/>
        <v>435442782.23288155</v>
      </c>
      <c r="P15" s="6"/>
      <c r="S15">
        <v>680725</v>
      </c>
    </row>
    <row r="16" spans="1:21" x14ac:dyDescent="0.25">
      <c r="A16" s="54"/>
      <c r="B16" s="11" t="s">
        <v>8</v>
      </c>
      <c r="C16" s="4" t="s">
        <v>13</v>
      </c>
      <c r="D16" s="20">
        <f>SUM(F16:O16)</f>
        <v>469018906.06155014</v>
      </c>
      <c r="E16" s="20">
        <f t="shared" ref="E16:E18" si="15">E6*D11</f>
        <v>12109198.881000001</v>
      </c>
      <c r="F16" s="20">
        <f t="shared" ref="F16:O18" si="16">F6*F11</f>
        <v>1167589.3499999999</v>
      </c>
      <c r="G16" s="5">
        <f>G6*G11</f>
        <v>7964256.6885000002</v>
      </c>
      <c r="H16" s="5">
        <f t="shared" si="16"/>
        <v>8581781.722500002</v>
      </c>
      <c r="I16" s="5">
        <f t="shared" si="16"/>
        <v>54295502.661303759</v>
      </c>
      <c r="J16" s="5">
        <f t="shared" si="16"/>
        <v>74450818.244462639</v>
      </c>
      <c r="K16" s="5">
        <f t="shared" si="16"/>
        <v>58447887.141295001</v>
      </c>
      <c r="L16" s="5">
        <f t="shared" si="16"/>
        <v>61370281.498359755</v>
      </c>
      <c r="M16" s="5">
        <f t="shared" si="16"/>
        <v>64438795.573277742</v>
      </c>
      <c r="N16" s="5">
        <f t="shared" ref="N16" si="17">N6*N11</f>
        <v>67660735.35194163</v>
      </c>
      <c r="O16" s="5">
        <f t="shared" si="16"/>
        <v>70641257.829909608</v>
      </c>
      <c r="P16" s="6"/>
    </row>
    <row r="17" spans="1:17" x14ac:dyDescent="0.25">
      <c r="A17" s="54"/>
      <c r="B17" s="11" t="s">
        <v>7</v>
      </c>
      <c r="C17" s="25" t="s">
        <v>13</v>
      </c>
      <c r="D17" s="20">
        <f>SUM(F17:O17)</f>
        <v>171589647.82614565</v>
      </c>
      <c r="E17" s="20">
        <f t="shared" si="15"/>
        <v>2182440.7154000001</v>
      </c>
      <c r="F17" s="20">
        <f t="shared" si="16"/>
        <v>562172.65</v>
      </c>
      <c r="G17" s="5">
        <f>G7*G12</f>
        <v>1779925.098</v>
      </c>
      <c r="H17" s="5">
        <f t="shared" si="16"/>
        <v>1907062.6050000002</v>
      </c>
      <c r="I17" s="5">
        <f t="shared" si="16"/>
        <v>19793879.542946253</v>
      </c>
      <c r="J17" s="5">
        <f t="shared" si="16"/>
        <v>26975543.57742038</v>
      </c>
      <c r="K17" s="5">
        <f t="shared" si="16"/>
        <v>21822752.196098246</v>
      </c>
      <c r="L17" s="5">
        <f t="shared" si="16"/>
        <v>22913889.805903159</v>
      </c>
      <c r="M17" s="5">
        <f t="shared" si="16"/>
        <v>24059584.29619832</v>
      </c>
      <c r="N17" s="5">
        <f t="shared" ref="N17" si="18">N7*N12</f>
        <v>25262563.511008237</v>
      </c>
      <c r="O17" s="5">
        <f t="shared" si="16"/>
        <v>26512274.543571014</v>
      </c>
      <c r="P17" s="6"/>
    </row>
    <row r="18" spans="1:17" x14ac:dyDescent="0.25">
      <c r="A18" s="54"/>
      <c r="B18" s="11" t="s">
        <v>4</v>
      </c>
      <c r="C18" s="4" t="s">
        <v>13</v>
      </c>
      <c r="D18" s="20">
        <f>SUM(F18:O18)</f>
        <v>301460917.60040021</v>
      </c>
      <c r="E18" s="20">
        <f t="shared" si="15"/>
        <v>3821764.3448000005</v>
      </c>
      <c r="F18" s="20">
        <f t="shared" si="16"/>
        <v>738368.92</v>
      </c>
      <c r="G18" s="5">
        <f t="shared" si="16"/>
        <v>2595906.0120000001</v>
      </c>
      <c r="H18" s="5">
        <f t="shared" si="16"/>
        <v>4225751.6994000003</v>
      </c>
      <c r="I18" s="5">
        <f t="shared" si="16"/>
        <v>35842057.59582001</v>
      </c>
      <c r="J18" s="5">
        <f t="shared" si="16"/>
        <v>39721585.775303259</v>
      </c>
      <c r="K18" s="5">
        <f t="shared" si="16"/>
        <v>39515868.499391556</v>
      </c>
      <c r="L18" s="5">
        <f t="shared" si="16"/>
        <v>41491661.92436114</v>
      </c>
      <c r="M18" s="5">
        <f t="shared" si="16"/>
        <v>43566245.020579197</v>
      </c>
      <c r="N18" s="5">
        <f t="shared" ref="N18" si="19">N8*N13</f>
        <v>45744557.271608159</v>
      </c>
      <c r="O18" s="5">
        <f t="shared" si="16"/>
        <v>48018914.881936915</v>
      </c>
      <c r="P18" s="6"/>
    </row>
    <row r="19" spans="1:17" x14ac:dyDescent="0.25">
      <c r="A19" s="55" t="s">
        <v>18</v>
      </c>
      <c r="B19" s="40" t="s">
        <v>15</v>
      </c>
      <c r="C19" s="41" t="s">
        <v>6</v>
      </c>
      <c r="D19" s="19">
        <f>SUM(D20)</f>
        <v>308</v>
      </c>
      <c r="E19" s="19">
        <f>SUM(E20)</f>
        <v>24.740000000000002</v>
      </c>
      <c r="F19" s="19">
        <f>SUM(F20)</f>
        <v>5</v>
      </c>
      <c r="G19" s="19">
        <f t="shared" ref="G19:O19" si="20">SUM(G20)</f>
        <v>30</v>
      </c>
      <c r="H19" s="19">
        <f>SUM(H20)</f>
        <v>45</v>
      </c>
      <c r="I19" s="19">
        <f t="shared" si="20"/>
        <v>30</v>
      </c>
      <c r="J19" s="19">
        <f t="shared" si="20"/>
        <v>48</v>
      </c>
      <c r="K19" s="19">
        <f t="shared" si="20"/>
        <v>30</v>
      </c>
      <c r="L19" s="19">
        <f t="shared" si="20"/>
        <v>30</v>
      </c>
      <c r="M19" s="19">
        <f t="shared" si="20"/>
        <v>30</v>
      </c>
      <c r="N19" s="19">
        <f t="shared" si="20"/>
        <v>30</v>
      </c>
      <c r="O19" s="19">
        <f t="shared" si="20"/>
        <v>30</v>
      </c>
    </row>
    <row r="20" spans="1:17" x14ac:dyDescent="0.25">
      <c r="A20" s="55"/>
      <c r="B20" s="40" t="s">
        <v>16</v>
      </c>
      <c r="C20" s="41" t="s">
        <v>6</v>
      </c>
      <c r="D20" s="20">
        <f>SUM(F20:O20)</f>
        <v>308</v>
      </c>
      <c r="E20" s="20">
        <f>P20*0.02</f>
        <v>24.740000000000002</v>
      </c>
      <c r="F20" s="20">
        <v>5</v>
      </c>
      <c r="G20" s="20">
        <v>30</v>
      </c>
      <c r="H20" s="20">
        <v>45</v>
      </c>
      <c r="I20" s="20">
        <v>30</v>
      </c>
      <c r="J20" s="20">
        <v>48</v>
      </c>
      <c r="K20" s="20">
        <v>30</v>
      </c>
      <c r="L20" s="20">
        <v>30</v>
      </c>
      <c r="M20" s="20">
        <v>30</v>
      </c>
      <c r="N20" s="20">
        <v>30</v>
      </c>
      <c r="O20" s="20">
        <v>30</v>
      </c>
      <c r="P20" s="14">
        <v>1237</v>
      </c>
    </row>
    <row r="21" spans="1:17" x14ac:dyDescent="0.25">
      <c r="A21" s="55"/>
      <c r="B21" s="40" t="s">
        <v>17</v>
      </c>
      <c r="C21" s="22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7" x14ac:dyDescent="0.25">
      <c r="A22" s="55"/>
      <c r="B22" s="42" t="s">
        <v>16</v>
      </c>
      <c r="C22" s="22" t="s">
        <v>12</v>
      </c>
      <c r="D22" s="20">
        <v>38728.980000000003</v>
      </c>
      <c r="E22" s="43" t="s">
        <v>14</v>
      </c>
      <c r="F22" s="20">
        <v>38728.980000000003</v>
      </c>
      <c r="G22" s="20">
        <f>F22*(1+$S$11)</f>
        <v>40665.429000000004</v>
      </c>
      <c r="H22" s="20">
        <f t="shared" ref="H22:O22" si="21">G22*(1+$S$11)</f>
        <v>42698.700450000004</v>
      </c>
      <c r="I22" s="20">
        <f>H22*(1+$S$11)</f>
        <v>44833.635472500006</v>
      </c>
      <c r="J22" s="20">
        <f t="shared" si="21"/>
        <v>47075.317246125007</v>
      </c>
      <c r="K22" s="20">
        <f t="shared" si="21"/>
        <v>49429.083108431259</v>
      </c>
      <c r="L22" s="20">
        <f t="shared" si="21"/>
        <v>51900.537263852828</v>
      </c>
      <c r="M22" s="20">
        <f t="shared" si="21"/>
        <v>54495.564127045473</v>
      </c>
      <c r="N22" s="20">
        <f t="shared" si="21"/>
        <v>57220.342333397748</v>
      </c>
      <c r="O22" s="20">
        <f t="shared" si="21"/>
        <v>60081.359450067641</v>
      </c>
    </row>
    <row r="23" spans="1:17" x14ac:dyDescent="0.25">
      <c r="A23" s="55"/>
      <c r="B23" s="42" t="s">
        <v>26</v>
      </c>
      <c r="C23" s="22" t="s">
        <v>13</v>
      </c>
      <c r="D23" s="19">
        <f>D24</f>
        <v>11928525.840000002</v>
      </c>
      <c r="E23" s="19">
        <f t="shared" ref="E23:O23" si="22">E24</f>
        <v>958154.96520000021</v>
      </c>
      <c r="F23" s="19">
        <f>F24</f>
        <v>193644.90000000002</v>
      </c>
      <c r="G23" s="19">
        <f t="shared" si="22"/>
        <v>1161869.4000000001</v>
      </c>
      <c r="H23" s="19">
        <f t="shared" si="22"/>
        <v>1742804.1</v>
      </c>
      <c r="I23" s="19">
        <f t="shared" si="22"/>
        <v>1161869.4000000001</v>
      </c>
      <c r="J23" s="19">
        <f t="shared" si="22"/>
        <v>1858991.04</v>
      </c>
      <c r="K23" s="19">
        <f t="shared" si="22"/>
        <v>1161869.4000000001</v>
      </c>
      <c r="L23" s="19">
        <f t="shared" si="22"/>
        <v>1161869.4000000001</v>
      </c>
      <c r="M23" s="19">
        <f t="shared" si="22"/>
        <v>1161869.4000000001</v>
      </c>
      <c r="N23" s="19">
        <f t="shared" si="22"/>
        <v>1161869.4000000001</v>
      </c>
      <c r="O23" s="19">
        <f t="shared" si="22"/>
        <v>1161869.4000000001</v>
      </c>
      <c r="P23" s="6">
        <f>SUM(F23:O23)</f>
        <v>11928525.840000002</v>
      </c>
    </row>
    <row r="24" spans="1:17" x14ac:dyDescent="0.25">
      <c r="A24" s="55"/>
      <c r="B24" s="42" t="s">
        <v>16</v>
      </c>
      <c r="C24" s="22" t="s">
        <v>13</v>
      </c>
      <c r="D24" s="20">
        <f>SUM(F24:O24)</f>
        <v>11928525.840000002</v>
      </c>
      <c r="E24" s="20">
        <f>E20*D22</f>
        <v>958154.96520000021</v>
      </c>
      <c r="F24" s="20">
        <f>F20*$D$22</f>
        <v>193644.90000000002</v>
      </c>
      <c r="G24" s="20">
        <f>G20*$D$22</f>
        <v>1161869.4000000001</v>
      </c>
      <c r="H24" s="20">
        <f>H20*$D$22</f>
        <v>1742804.1</v>
      </c>
      <c r="I24" s="20">
        <f>I20*$D$22</f>
        <v>1161869.4000000001</v>
      </c>
      <c r="J24" s="20">
        <f>J20*$D$22</f>
        <v>1858991.04</v>
      </c>
      <c r="K24" s="20">
        <f t="shared" ref="K24:O24" si="23">K20*$D$22</f>
        <v>1161869.4000000001</v>
      </c>
      <c r="L24" s="20">
        <f t="shared" si="23"/>
        <v>1161869.4000000001</v>
      </c>
      <c r="M24" s="20">
        <f t="shared" si="23"/>
        <v>1161869.4000000001</v>
      </c>
      <c r="N24" s="20">
        <f t="shared" ref="N24" si="24">N20*$D$22</f>
        <v>1161869.4000000001</v>
      </c>
      <c r="O24" s="20">
        <f t="shared" si="23"/>
        <v>1161869.4000000001</v>
      </c>
    </row>
    <row r="25" spans="1:17" x14ac:dyDescent="0.25">
      <c r="A25" s="58" t="s">
        <v>19</v>
      </c>
      <c r="B25" s="40" t="s">
        <v>20</v>
      </c>
      <c r="C25" s="41" t="s">
        <v>6</v>
      </c>
      <c r="D25" s="21">
        <v>2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Q25" s="50">
        <f>(P14+P23+P36+F41+F61)/1.2</f>
        <v>3416353399.8623047</v>
      </c>
    </row>
    <row r="26" spans="1:17" x14ac:dyDescent="0.25">
      <c r="A26" s="59"/>
      <c r="B26" s="40" t="s">
        <v>43</v>
      </c>
      <c r="C26" s="41" t="s">
        <v>6</v>
      </c>
      <c r="D26" s="20">
        <v>1</v>
      </c>
      <c r="E26" s="43" t="s">
        <v>14</v>
      </c>
      <c r="F26" s="44">
        <v>1</v>
      </c>
      <c r="G26" s="43" t="s">
        <v>14</v>
      </c>
      <c r="H26" s="43" t="s">
        <v>14</v>
      </c>
      <c r="I26" s="43" t="s">
        <v>14</v>
      </c>
      <c r="J26" s="43" t="s">
        <v>14</v>
      </c>
      <c r="K26" s="43" t="s">
        <v>14</v>
      </c>
      <c r="L26" s="43" t="s">
        <v>14</v>
      </c>
      <c r="M26" s="43" t="s">
        <v>14</v>
      </c>
      <c r="N26" s="43" t="s">
        <v>14</v>
      </c>
      <c r="O26" s="43" t="s">
        <v>14</v>
      </c>
    </row>
    <row r="27" spans="1:17" x14ac:dyDescent="0.25">
      <c r="A27" s="59"/>
      <c r="B27" s="40" t="s">
        <v>44</v>
      </c>
      <c r="C27" s="41" t="s">
        <v>6</v>
      </c>
      <c r="D27" s="20">
        <v>1</v>
      </c>
      <c r="E27" s="43" t="s">
        <v>14</v>
      </c>
      <c r="F27" s="44">
        <v>1</v>
      </c>
      <c r="G27" s="43" t="s">
        <v>14</v>
      </c>
      <c r="H27" s="43" t="s">
        <v>14</v>
      </c>
      <c r="I27" s="43" t="s">
        <v>14</v>
      </c>
      <c r="J27" s="43" t="s">
        <v>14</v>
      </c>
      <c r="K27" s="43" t="s">
        <v>14</v>
      </c>
      <c r="L27" s="43" t="s">
        <v>14</v>
      </c>
      <c r="M27" s="43" t="s">
        <v>14</v>
      </c>
      <c r="N27" s="43" t="s">
        <v>14</v>
      </c>
      <c r="O27" s="43" t="s">
        <v>14</v>
      </c>
    </row>
    <row r="28" spans="1:17" x14ac:dyDescent="0.25">
      <c r="A28" s="59"/>
      <c r="B28" s="40" t="s">
        <v>24</v>
      </c>
      <c r="C28" s="41" t="s">
        <v>6</v>
      </c>
      <c r="D28" s="20">
        <v>2</v>
      </c>
      <c r="E28" s="43" t="s">
        <v>14</v>
      </c>
      <c r="F28" s="44">
        <v>2</v>
      </c>
      <c r="G28" s="43" t="s">
        <v>14</v>
      </c>
      <c r="H28" s="43" t="s">
        <v>14</v>
      </c>
      <c r="I28" s="43" t="s">
        <v>14</v>
      </c>
      <c r="J28" s="43" t="s">
        <v>14</v>
      </c>
      <c r="K28" s="43" t="s">
        <v>14</v>
      </c>
      <c r="L28" s="43" t="s">
        <v>14</v>
      </c>
      <c r="M28" s="43" t="s">
        <v>14</v>
      </c>
      <c r="N28" s="43" t="s">
        <v>14</v>
      </c>
      <c r="O28" s="43" t="s">
        <v>14</v>
      </c>
    </row>
    <row r="29" spans="1:17" x14ac:dyDescent="0.25">
      <c r="A29" s="59"/>
      <c r="B29" s="40" t="s">
        <v>25</v>
      </c>
      <c r="C29" s="41" t="s">
        <v>6</v>
      </c>
      <c r="D29" s="20">
        <v>1</v>
      </c>
      <c r="E29" s="43" t="s">
        <v>14</v>
      </c>
      <c r="F29" s="20">
        <v>1</v>
      </c>
      <c r="G29" s="20">
        <v>1</v>
      </c>
      <c r="H29" s="20">
        <v>1</v>
      </c>
      <c r="I29" s="20">
        <v>1</v>
      </c>
      <c r="J29" s="20">
        <v>1</v>
      </c>
      <c r="K29" s="20">
        <v>1</v>
      </c>
      <c r="L29" s="20">
        <v>1</v>
      </c>
      <c r="M29" s="20">
        <v>1</v>
      </c>
      <c r="N29" s="20">
        <v>1</v>
      </c>
      <c r="O29" s="20">
        <v>1</v>
      </c>
    </row>
    <row r="30" spans="1:17" x14ac:dyDescent="0.25">
      <c r="A30" s="59"/>
      <c r="B30" s="40" t="s">
        <v>21</v>
      </c>
      <c r="C30" s="21"/>
      <c r="D30" s="19"/>
      <c r="E30" s="19"/>
      <c r="F30" s="19"/>
      <c r="G30" s="21"/>
      <c r="H30" s="21"/>
      <c r="I30" s="21"/>
      <c r="J30" s="21"/>
      <c r="K30" s="21"/>
      <c r="L30" s="21"/>
      <c r="M30" s="21"/>
      <c r="N30" s="21"/>
      <c r="O30" s="21"/>
    </row>
    <row r="31" spans="1:17" x14ac:dyDescent="0.25">
      <c r="A31" s="59"/>
      <c r="B31" s="40" t="s">
        <v>43</v>
      </c>
      <c r="C31" s="41" t="s">
        <v>12</v>
      </c>
      <c r="D31" s="20">
        <v>3500000</v>
      </c>
      <c r="E31" s="43" t="s">
        <v>14</v>
      </c>
      <c r="F31" s="44">
        <f t="shared" ref="F31:F32" si="25">D31</f>
        <v>3500000</v>
      </c>
      <c r="G31" s="43" t="s">
        <v>14</v>
      </c>
      <c r="H31" s="43" t="s">
        <v>14</v>
      </c>
      <c r="I31" s="43" t="s">
        <v>14</v>
      </c>
      <c r="J31" s="43" t="s">
        <v>14</v>
      </c>
      <c r="K31" s="43" t="s">
        <v>14</v>
      </c>
      <c r="L31" s="43" t="s">
        <v>14</v>
      </c>
      <c r="M31" s="43" t="s">
        <v>14</v>
      </c>
      <c r="N31" s="43" t="s">
        <v>14</v>
      </c>
      <c r="O31" s="43" t="s">
        <v>14</v>
      </c>
    </row>
    <row r="32" spans="1:17" x14ac:dyDescent="0.25">
      <c r="A32" s="59"/>
      <c r="B32" s="40" t="s">
        <v>23</v>
      </c>
      <c r="C32" s="41" t="s">
        <v>12</v>
      </c>
      <c r="D32" s="20">
        <v>450000</v>
      </c>
      <c r="E32" s="43" t="s">
        <v>14</v>
      </c>
      <c r="F32" s="44">
        <f t="shared" si="25"/>
        <v>450000</v>
      </c>
      <c r="G32" s="43" t="s">
        <v>14</v>
      </c>
      <c r="H32" s="43" t="s">
        <v>14</v>
      </c>
      <c r="I32" s="43" t="s">
        <v>14</v>
      </c>
      <c r="J32" s="43" t="s">
        <v>14</v>
      </c>
      <c r="K32" s="43" t="s">
        <v>14</v>
      </c>
      <c r="L32" s="43" t="s">
        <v>14</v>
      </c>
      <c r="M32" s="43" t="s">
        <v>14</v>
      </c>
      <c r="N32" s="43" t="s">
        <v>14</v>
      </c>
      <c r="O32" s="43" t="s">
        <v>14</v>
      </c>
    </row>
    <row r="33" spans="1:17" x14ac:dyDescent="0.25">
      <c r="A33" s="59"/>
      <c r="B33" s="40" t="s">
        <v>24</v>
      </c>
      <c r="C33" s="41" t="s">
        <v>12</v>
      </c>
      <c r="D33" s="20">
        <v>300000</v>
      </c>
      <c r="E33" s="43" t="s">
        <v>14</v>
      </c>
      <c r="F33" s="44">
        <f>D33</f>
        <v>300000</v>
      </c>
      <c r="G33" s="43" t="s">
        <v>14</v>
      </c>
      <c r="H33" s="43" t="s">
        <v>14</v>
      </c>
      <c r="I33" s="43" t="s">
        <v>14</v>
      </c>
      <c r="J33" s="43" t="s">
        <v>14</v>
      </c>
      <c r="K33" s="43" t="s">
        <v>14</v>
      </c>
      <c r="L33" s="43" t="s">
        <v>14</v>
      </c>
      <c r="M33" s="43" t="s">
        <v>14</v>
      </c>
      <c r="N33" s="43" t="s">
        <v>14</v>
      </c>
      <c r="O33" s="43" t="s">
        <v>14</v>
      </c>
    </row>
    <row r="34" spans="1:17" x14ac:dyDescent="0.25">
      <c r="A34" s="59"/>
      <c r="B34" s="40" t="s">
        <v>25</v>
      </c>
      <c r="C34" s="41" t="s">
        <v>12</v>
      </c>
      <c r="D34" s="20">
        <f>75000*12</f>
        <v>900000</v>
      </c>
      <c r="E34" s="43" t="s">
        <v>14</v>
      </c>
      <c r="F34" s="20">
        <f t="shared" ref="F34" si="26">$D34</f>
        <v>900000</v>
      </c>
      <c r="G34" s="20">
        <f>F34*(1+$S$11)</f>
        <v>945000</v>
      </c>
      <c r="H34" s="20">
        <f t="shared" ref="H34:O34" si="27">G34*(1+$S$11)</f>
        <v>992250</v>
      </c>
      <c r="I34" s="20">
        <f t="shared" si="27"/>
        <v>1041862.5</v>
      </c>
      <c r="J34" s="20">
        <f t="shared" si="27"/>
        <v>1093955.625</v>
      </c>
      <c r="K34" s="20">
        <f t="shared" si="27"/>
        <v>1148653.40625</v>
      </c>
      <c r="L34" s="20">
        <f t="shared" si="27"/>
        <v>1206086.0765625001</v>
      </c>
      <c r="M34" s="20">
        <f t="shared" si="27"/>
        <v>1266390.3803906252</v>
      </c>
      <c r="N34" s="20">
        <f t="shared" si="27"/>
        <v>1329709.8994101565</v>
      </c>
      <c r="O34" s="20">
        <f t="shared" si="27"/>
        <v>1396195.3943806645</v>
      </c>
    </row>
    <row r="35" spans="1:17" x14ac:dyDescent="0.25">
      <c r="A35" s="59"/>
      <c r="B35" s="40"/>
      <c r="C35" s="41"/>
      <c r="D35" s="20"/>
      <c r="E35" s="43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7" x14ac:dyDescent="0.25">
      <c r="A36" s="59"/>
      <c r="B36" s="40" t="s">
        <v>22</v>
      </c>
      <c r="C36" s="41" t="s">
        <v>13</v>
      </c>
      <c r="D36" s="19">
        <f>SUM(D37:D40)</f>
        <v>15870103.281993946</v>
      </c>
      <c r="E36" s="19">
        <f t="shared" ref="E36:O36" si="28">SUM(E37:E40)</f>
        <v>0</v>
      </c>
      <c r="F36" s="19">
        <f>SUM(F37:F40)</f>
        <v>5450000</v>
      </c>
      <c r="G36" s="19">
        <f>SUM(G37:G40)</f>
        <v>945000</v>
      </c>
      <c r="H36" s="19">
        <f t="shared" si="28"/>
        <v>992250</v>
      </c>
      <c r="I36" s="19">
        <f t="shared" si="28"/>
        <v>1041862.5</v>
      </c>
      <c r="J36" s="19">
        <f t="shared" si="28"/>
        <v>1093955.625</v>
      </c>
      <c r="K36" s="19">
        <f t="shared" si="28"/>
        <v>1148653.40625</v>
      </c>
      <c r="L36" s="19">
        <f t="shared" si="28"/>
        <v>1206086.0765625001</v>
      </c>
      <c r="M36" s="19">
        <f t="shared" si="28"/>
        <v>1266390.3803906252</v>
      </c>
      <c r="N36" s="19">
        <f t="shared" ref="N36" si="29">SUM(N37:N40)</f>
        <v>1329709.8994101565</v>
      </c>
      <c r="O36" s="19">
        <f t="shared" si="28"/>
        <v>1396195.3943806645</v>
      </c>
      <c r="P36" s="6">
        <f>SUM(F36:O36)</f>
        <v>15870103.281993946</v>
      </c>
    </row>
    <row r="37" spans="1:17" x14ac:dyDescent="0.25">
      <c r="A37" s="59"/>
      <c r="B37" s="40" t="s">
        <v>43</v>
      </c>
      <c r="C37" s="41" t="s">
        <v>13</v>
      </c>
      <c r="D37" s="20">
        <f>SUM(F37:O37)</f>
        <v>3500000</v>
      </c>
      <c r="E37" s="43" t="s">
        <v>14</v>
      </c>
      <c r="F37" s="20">
        <f>F26*F31</f>
        <v>3500000</v>
      </c>
      <c r="G37" s="43" t="s">
        <v>14</v>
      </c>
      <c r="H37" s="43" t="s">
        <v>14</v>
      </c>
      <c r="I37" s="43" t="s">
        <v>14</v>
      </c>
      <c r="J37" s="43" t="s">
        <v>14</v>
      </c>
      <c r="K37" s="43" t="s">
        <v>14</v>
      </c>
      <c r="L37" s="43" t="s">
        <v>14</v>
      </c>
      <c r="M37" s="43" t="s">
        <v>14</v>
      </c>
      <c r="N37" s="43" t="s">
        <v>14</v>
      </c>
      <c r="O37" s="43" t="s">
        <v>14</v>
      </c>
    </row>
    <row r="38" spans="1:17" x14ac:dyDescent="0.25">
      <c r="A38" s="59"/>
      <c r="B38" s="40" t="s">
        <v>23</v>
      </c>
      <c r="C38" s="41" t="s">
        <v>13</v>
      </c>
      <c r="D38" s="20">
        <f>SUM(F38:O38)</f>
        <v>450000</v>
      </c>
      <c r="E38" s="43" t="s">
        <v>14</v>
      </c>
      <c r="F38" s="20">
        <f>F27*F32</f>
        <v>450000</v>
      </c>
      <c r="G38" s="43" t="s">
        <v>14</v>
      </c>
      <c r="H38" s="43" t="s">
        <v>14</v>
      </c>
      <c r="I38" s="43" t="s">
        <v>14</v>
      </c>
      <c r="J38" s="43" t="s">
        <v>14</v>
      </c>
      <c r="K38" s="43" t="s">
        <v>14</v>
      </c>
      <c r="L38" s="43" t="s">
        <v>14</v>
      </c>
      <c r="M38" s="43" t="s">
        <v>14</v>
      </c>
      <c r="N38" s="43" t="s">
        <v>14</v>
      </c>
      <c r="O38" s="43" t="s">
        <v>14</v>
      </c>
      <c r="Q38" s="6">
        <f>P14+P23+P36+F41+P55+P61</f>
        <v>5019811363.5014324</v>
      </c>
    </row>
    <row r="39" spans="1:17" x14ac:dyDescent="0.25">
      <c r="A39" s="59"/>
      <c r="B39" s="40" t="s">
        <v>24</v>
      </c>
      <c r="C39" s="41" t="s">
        <v>13</v>
      </c>
      <c r="D39" s="20">
        <f>SUM(F39:O39)</f>
        <v>600000</v>
      </c>
      <c r="E39" s="43" t="s">
        <v>14</v>
      </c>
      <c r="F39" s="20">
        <f>F28*F33</f>
        <v>600000</v>
      </c>
      <c r="G39" s="43" t="s">
        <v>14</v>
      </c>
      <c r="H39" s="43" t="s">
        <v>14</v>
      </c>
      <c r="I39" s="43" t="s">
        <v>14</v>
      </c>
      <c r="J39" s="43" t="s">
        <v>14</v>
      </c>
      <c r="K39" s="43" t="s">
        <v>14</v>
      </c>
      <c r="L39" s="43" t="s">
        <v>14</v>
      </c>
      <c r="M39" s="43" t="s">
        <v>14</v>
      </c>
      <c r="N39" s="43" t="s">
        <v>14</v>
      </c>
      <c r="O39" s="43" t="s">
        <v>14</v>
      </c>
    </row>
    <row r="40" spans="1:17" x14ac:dyDescent="0.25">
      <c r="A40" s="59"/>
      <c r="B40" s="40" t="s">
        <v>25</v>
      </c>
      <c r="C40" s="41" t="s">
        <v>13</v>
      </c>
      <c r="D40" s="20">
        <f>SUM(F40:O40)</f>
        <v>11320103.281993946</v>
      </c>
      <c r="E40" s="43" t="s">
        <v>14</v>
      </c>
      <c r="F40" s="20">
        <f>F29*F34</f>
        <v>900000</v>
      </c>
      <c r="G40" s="20">
        <f>G29*G34</f>
        <v>945000</v>
      </c>
      <c r="H40" s="20">
        <f t="shared" ref="H40:O40" si="30">H29*H34</f>
        <v>992250</v>
      </c>
      <c r="I40" s="20">
        <f t="shared" si="30"/>
        <v>1041862.5</v>
      </c>
      <c r="J40" s="20">
        <f t="shared" si="30"/>
        <v>1093955.625</v>
      </c>
      <c r="K40" s="20">
        <f t="shared" si="30"/>
        <v>1148653.40625</v>
      </c>
      <c r="L40" s="20">
        <f t="shared" si="30"/>
        <v>1206086.0765625001</v>
      </c>
      <c r="M40" s="20">
        <f t="shared" si="30"/>
        <v>1266390.3803906252</v>
      </c>
      <c r="N40" s="20">
        <f t="shared" ref="N40" si="31">N29*N34</f>
        <v>1329709.8994101565</v>
      </c>
      <c r="O40" s="20">
        <f t="shared" si="30"/>
        <v>1396195.3943806645</v>
      </c>
    </row>
    <row r="41" spans="1:17" ht="30" x14ac:dyDescent="0.25">
      <c r="A41" s="59"/>
      <c r="B41" s="45" t="s">
        <v>45</v>
      </c>
      <c r="C41" s="41" t="s">
        <v>13</v>
      </c>
      <c r="D41" s="20">
        <f>SUM(F41:O41)</f>
        <v>14400000</v>
      </c>
      <c r="E41" s="43"/>
      <c r="F41" s="20">
        <v>14400000</v>
      </c>
      <c r="G41" s="20"/>
      <c r="H41" s="20"/>
      <c r="I41" s="20"/>
      <c r="J41" s="20"/>
      <c r="K41" s="20"/>
      <c r="L41" s="20"/>
      <c r="M41" s="20"/>
      <c r="N41" s="20"/>
      <c r="O41" s="20"/>
    </row>
    <row r="42" spans="1:17" x14ac:dyDescent="0.25">
      <c r="A42" s="60"/>
      <c r="B42" s="40"/>
      <c r="C42" s="41"/>
      <c r="D42" s="18"/>
      <c r="E42" s="22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7" x14ac:dyDescent="0.25">
      <c r="A43" s="54" t="s">
        <v>35</v>
      </c>
      <c r="B43" s="11" t="s">
        <v>27</v>
      </c>
      <c r="C43" s="4" t="s">
        <v>6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7" x14ac:dyDescent="0.25">
      <c r="A44" s="54"/>
      <c r="B44" s="11" t="s">
        <v>28</v>
      </c>
      <c r="C44" s="4" t="s">
        <v>6</v>
      </c>
      <c r="D44" s="5">
        <f>D5</f>
        <v>680725</v>
      </c>
      <c r="E44" s="5">
        <f>D44*0.02</f>
        <v>13614.5</v>
      </c>
      <c r="F44" s="5">
        <f>F5</f>
        <v>36427</v>
      </c>
      <c r="G44" s="5">
        <f t="shared" ref="G44:O44" si="32">G5</f>
        <v>36179</v>
      </c>
      <c r="H44" s="5">
        <f t="shared" si="32"/>
        <v>36180</v>
      </c>
      <c r="I44" s="5">
        <f t="shared" si="32"/>
        <v>87318</v>
      </c>
      <c r="J44" s="5">
        <f t="shared" si="32"/>
        <v>81000</v>
      </c>
      <c r="K44" s="5">
        <f t="shared" si="32"/>
        <v>81000</v>
      </c>
      <c r="L44" s="5">
        <f t="shared" si="32"/>
        <v>81000</v>
      </c>
      <c r="M44" s="5">
        <f t="shared" si="32"/>
        <v>81000</v>
      </c>
      <c r="N44" s="5">
        <f t="shared" si="32"/>
        <v>81000</v>
      </c>
      <c r="O44" s="5">
        <f t="shared" si="32"/>
        <v>79621</v>
      </c>
    </row>
    <row r="45" spans="1:17" x14ac:dyDescent="0.25">
      <c r="A45" s="54"/>
      <c r="B45" s="11" t="s">
        <v>29</v>
      </c>
      <c r="C45" s="4" t="s">
        <v>6</v>
      </c>
      <c r="D45" s="5">
        <f>D6+D7</f>
        <v>55750</v>
      </c>
      <c r="E45" s="5">
        <f>E6+E7</f>
        <v>1652.44</v>
      </c>
      <c r="F45" s="5">
        <f>F6+F7</f>
        <v>200</v>
      </c>
      <c r="G45" s="5">
        <f t="shared" ref="G45:O45" si="33">G6+G7</f>
        <v>1073</v>
      </c>
      <c r="H45" s="5">
        <f>H6+H7</f>
        <v>1100</v>
      </c>
      <c r="I45" s="5">
        <f>I6+I7</f>
        <v>7400</v>
      </c>
      <c r="J45" s="5">
        <f t="shared" si="33"/>
        <v>9648</v>
      </c>
      <c r="K45" s="5">
        <f t="shared" si="33"/>
        <v>7272</v>
      </c>
      <c r="L45" s="5">
        <f t="shared" si="33"/>
        <v>7272</v>
      </c>
      <c r="M45" s="5">
        <f t="shared" si="33"/>
        <v>7272</v>
      </c>
      <c r="N45" s="5">
        <f t="shared" si="33"/>
        <v>7272</v>
      </c>
      <c r="O45" s="5">
        <f t="shared" si="33"/>
        <v>7241</v>
      </c>
    </row>
    <row r="46" spans="1:17" x14ac:dyDescent="0.25">
      <c r="A46" s="54"/>
      <c r="B46" s="11" t="s">
        <v>30</v>
      </c>
      <c r="C46" s="4" t="s">
        <v>6</v>
      </c>
      <c r="D46" s="5">
        <f>D8</f>
        <v>27179</v>
      </c>
      <c r="E46" s="5">
        <f t="shared" ref="E46" si="34">D46*0.02</f>
        <v>543.58000000000004</v>
      </c>
      <c r="F46" s="5">
        <f>F8</f>
        <v>89</v>
      </c>
      <c r="G46" s="5">
        <f t="shared" ref="G46:O46" si="35">G8</f>
        <v>298</v>
      </c>
      <c r="H46" s="5">
        <f t="shared" si="35"/>
        <v>462</v>
      </c>
      <c r="I46" s="5">
        <f t="shared" si="35"/>
        <v>3732</v>
      </c>
      <c r="J46" s="5">
        <f t="shared" si="35"/>
        <v>3939</v>
      </c>
      <c r="K46" s="5">
        <f t="shared" si="35"/>
        <v>3732</v>
      </c>
      <c r="L46" s="5">
        <f t="shared" si="35"/>
        <v>3732</v>
      </c>
      <c r="M46" s="5">
        <f t="shared" si="35"/>
        <v>3732</v>
      </c>
      <c r="N46" s="5">
        <f t="shared" si="35"/>
        <v>3732</v>
      </c>
      <c r="O46" s="5">
        <f t="shared" si="35"/>
        <v>3731</v>
      </c>
    </row>
    <row r="47" spans="1:17" x14ac:dyDescent="0.25">
      <c r="A47" s="54"/>
      <c r="B47" s="11" t="s">
        <v>34</v>
      </c>
      <c r="C47" s="4" t="s">
        <v>6</v>
      </c>
      <c r="D47" s="5">
        <f>SUM(D44:D46)</f>
        <v>763654</v>
      </c>
      <c r="E47" s="5">
        <f>D47*0.02</f>
        <v>15273.08</v>
      </c>
      <c r="F47" s="5">
        <f>SUM(F44:F46)</f>
        <v>36716</v>
      </c>
      <c r="G47" s="5">
        <f>SUM(G44:G46)</f>
        <v>37550</v>
      </c>
      <c r="H47" s="5">
        <f t="shared" ref="H47:O47" si="36">SUM(H44:H46)</f>
        <v>37742</v>
      </c>
      <c r="I47" s="5">
        <f t="shared" si="36"/>
        <v>98450</v>
      </c>
      <c r="J47" s="5">
        <f t="shared" si="36"/>
        <v>94587</v>
      </c>
      <c r="K47" s="5">
        <f t="shared" si="36"/>
        <v>92004</v>
      </c>
      <c r="L47" s="5">
        <f t="shared" si="36"/>
        <v>92004</v>
      </c>
      <c r="M47" s="5">
        <f t="shared" si="36"/>
        <v>92004</v>
      </c>
      <c r="N47" s="5">
        <f t="shared" si="36"/>
        <v>92004</v>
      </c>
      <c r="O47" s="5">
        <f t="shared" si="36"/>
        <v>90593</v>
      </c>
    </row>
    <row r="48" spans="1:17" x14ac:dyDescent="0.25">
      <c r="A48" s="54"/>
      <c r="B48" s="11" t="s">
        <v>31</v>
      </c>
      <c r="C48" s="4" t="s">
        <v>6</v>
      </c>
      <c r="D48" s="5">
        <f>SUM(F48:O48)</f>
        <v>1348</v>
      </c>
      <c r="E48" s="5">
        <f>E20</f>
        <v>24.740000000000002</v>
      </c>
      <c r="F48" s="5">
        <v>70</v>
      </c>
      <c r="G48" s="5">
        <v>350</v>
      </c>
      <c r="H48" s="5">
        <v>700</v>
      </c>
      <c r="I48" s="5">
        <f>I19</f>
        <v>30</v>
      </c>
      <c r="J48" s="5">
        <f t="shared" ref="J48:O48" si="37">J19</f>
        <v>48</v>
      </c>
      <c r="K48" s="5">
        <f t="shared" si="37"/>
        <v>30</v>
      </c>
      <c r="L48" s="5">
        <f t="shared" si="37"/>
        <v>30</v>
      </c>
      <c r="M48" s="5">
        <f t="shared" si="37"/>
        <v>30</v>
      </c>
      <c r="N48" s="5">
        <f t="shared" si="37"/>
        <v>30</v>
      </c>
      <c r="O48" s="5">
        <f t="shared" si="37"/>
        <v>30</v>
      </c>
    </row>
    <row r="49" spans="1:20" x14ac:dyDescent="0.25">
      <c r="A49" s="54"/>
      <c r="B49" s="11" t="s">
        <v>32</v>
      </c>
      <c r="C49" s="4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20" x14ac:dyDescent="0.25">
      <c r="A50" s="54"/>
      <c r="B50" s="11" t="s">
        <v>28</v>
      </c>
      <c r="C50" s="4" t="s">
        <v>12</v>
      </c>
      <c r="D50" s="5">
        <v>1050</v>
      </c>
      <c r="E50" s="48" t="s">
        <v>14</v>
      </c>
      <c r="F50" s="5">
        <f>$D50</f>
        <v>1050</v>
      </c>
      <c r="G50" s="5">
        <f t="shared" ref="G50:O50" si="38">$D50</f>
        <v>1050</v>
      </c>
      <c r="H50" s="5">
        <f t="shared" si="38"/>
        <v>1050</v>
      </c>
      <c r="I50" s="5">
        <f t="shared" si="38"/>
        <v>1050</v>
      </c>
      <c r="J50" s="5">
        <f t="shared" si="38"/>
        <v>1050</v>
      </c>
      <c r="K50" s="5">
        <f t="shared" si="38"/>
        <v>1050</v>
      </c>
      <c r="L50" s="5">
        <f t="shared" si="38"/>
        <v>1050</v>
      </c>
      <c r="M50" s="5">
        <f t="shared" si="38"/>
        <v>1050</v>
      </c>
      <c r="N50" s="5">
        <f t="shared" si="38"/>
        <v>1050</v>
      </c>
      <c r="O50" s="5">
        <f t="shared" si="38"/>
        <v>1050</v>
      </c>
    </row>
    <row r="51" spans="1:20" x14ac:dyDescent="0.25">
      <c r="A51" s="54"/>
      <c r="B51" s="11" t="s">
        <v>29</v>
      </c>
      <c r="C51" s="4" t="s">
        <v>12</v>
      </c>
      <c r="D51" s="5">
        <v>2880</v>
      </c>
      <c r="E51" s="48" t="s">
        <v>14</v>
      </c>
      <c r="F51" s="5">
        <f t="shared" ref="F51:O54" si="39">$D51</f>
        <v>2880</v>
      </c>
      <c r="G51" s="5">
        <f t="shared" si="39"/>
        <v>2880</v>
      </c>
      <c r="H51" s="5">
        <f t="shared" si="39"/>
        <v>2880</v>
      </c>
      <c r="I51" s="5">
        <f>$D51+0.7</f>
        <v>2880.7</v>
      </c>
      <c r="J51" s="5">
        <f>$D51-2.7</f>
        <v>2877.3</v>
      </c>
      <c r="K51" s="5">
        <f t="shared" si="39"/>
        <v>2880</v>
      </c>
      <c r="L51" s="5">
        <f t="shared" si="39"/>
        <v>2880</v>
      </c>
      <c r="M51" s="5">
        <f t="shared" si="39"/>
        <v>2880</v>
      </c>
      <c r="N51" s="5">
        <f t="shared" si="39"/>
        <v>2880</v>
      </c>
      <c r="O51" s="5">
        <f t="shared" si="39"/>
        <v>2880</v>
      </c>
    </row>
    <row r="52" spans="1:20" x14ac:dyDescent="0.25">
      <c r="A52" s="54"/>
      <c r="B52" s="11" t="s">
        <v>30</v>
      </c>
      <c r="C52" s="4" t="s">
        <v>12</v>
      </c>
      <c r="D52" s="5">
        <v>8280</v>
      </c>
      <c r="E52" s="48"/>
      <c r="F52" s="5">
        <f t="shared" si="39"/>
        <v>8280</v>
      </c>
      <c r="G52" s="5">
        <f t="shared" si="39"/>
        <v>8280</v>
      </c>
      <c r="H52" s="5">
        <f t="shared" si="39"/>
        <v>8280</v>
      </c>
      <c r="I52" s="5">
        <f t="shared" si="39"/>
        <v>8280</v>
      </c>
      <c r="J52" s="5">
        <f t="shared" si="39"/>
        <v>8280</v>
      </c>
      <c r="K52" s="5">
        <f t="shared" si="39"/>
        <v>8280</v>
      </c>
      <c r="L52" s="5">
        <f t="shared" si="39"/>
        <v>8280</v>
      </c>
      <c r="M52" s="5">
        <f t="shared" si="39"/>
        <v>8280</v>
      </c>
      <c r="N52" s="5">
        <f t="shared" si="39"/>
        <v>8280</v>
      </c>
      <c r="O52" s="5">
        <f t="shared" si="39"/>
        <v>8280</v>
      </c>
    </row>
    <row r="53" spans="1:20" x14ac:dyDescent="0.25">
      <c r="A53" s="54"/>
      <c r="B53" s="11" t="s">
        <v>34</v>
      </c>
      <c r="C53" s="4" t="s">
        <v>12</v>
      </c>
      <c r="D53" s="5">
        <v>588</v>
      </c>
      <c r="E53" s="48" t="s">
        <v>14</v>
      </c>
      <c r="F53" s="5">
        <f t="shared" si="39"/>
        <v>588</v>
      </c>
      <c r="G53" s="5">
        <f t="shared" si="39"/>
        <v>588</v>
      </c>
      <c r="H53" s="5">
        <f t="shared" si="39"/>
        <v>588</v>
      </c>
      <c r="I53" s="5">
        <f t="shared" si="39"/>
        <v>588</v>
      </c>
      <c r="J53" s="5">
        <f t="shared" si="39"/>
        <v>588</v>
      </c>
      <c r="K53" s="5">
        <f t="shared" si="39"/>
        <v>588</v>
      </c>
      <c r="L53" s="5">
        <f t="shared" si="39"/>
        <v>588</v>
      </c>
      <c r="M53" s="5">
        <f t="shared" si="39"/>
        <v>588</v>
      </c>
      <c r="N53" s="5">
        <f t="shared" si="39"/>
        <v>588</v>
      </c>
      <c r="O53" s="5">
        <f t="shared" si="39"/>
        <v>588</v>
      </c>
    </row>
    <row r="54" spans="1:20" x14ac:dyDescent="0.25">
      <c r="A54" s="54"/>
      <c r="B54" s="11" t="s">
        <v>31</v>
      </c>
      <c r="C54" s="4" t="s">
        <v>12</v>
      </c>
      <c r="D54" s="5">
        <v>2880</v>
      </c>
      <c r="E54" s="48" t="s">
        <v>14</v>
      </c>
      <c r="F54" s="5">
        <f t="shared" si="39"/>
        <v>2880</v>
      </c>
      <c r="G54" s="5">
        <f t="shared" si="39"/>
        <v>2880</v>
      </c>
      <c r="H54" s="5">
        <f t="shared" si="39"/>
        <v>2880</v>
      </c>
      <c r="I54" s="5">
        <f t="shared" si="39"/>
        <v>2880</v>
      </c>
      <c r="J54" s="5">
        <f t="shared" si="39"/>
        <v>2880</v>
      </c>
      <c r="K54" s="5">
        <f t="shared" si="39"/>
        <v>2880</v>
      </c>
      <c r="L54" s="5">
        <f t="shared" si="39"/>
        <v>2880</v>
      </c>
      <c r="M54" s="5">
        <f t="shared" si="39"/>
        <v>2880</v>
      </c>
      <c r="N54" s="5">
        <f t="shared" si="39"/>
        <v>2880</v>
      </c>
      <c r="O54" s="5">
        <f t="shared" si="39"/>
        <v>2880</v>
      </c>
    </row>
    <row r="55" spans="1:20" x14ac:dyDescent="0.25">
      <c r="A55" s="54"/>
      <c r="B55" s="26" t="s">
        <v>33</v>
      </c>
      <c r="C55" s="27" t="s">
        <v>13</v>
      </c>
      <c r="D55" s="47">
        <f>SUM(D56:D60)</f>
        <v>1553253292.4000001</v>
      </c>
      <c r="E55" s="47">
        <f t="shared" ref="E55" si="40">SUM(E56:E60)</f>
        <v>63431598.840000004</v>
      </c>
      <c r="F55" s="47">
        <f>SUM(F56:F58)+F60</f>
        <v>39762870</v>
      </c>
      <c r="G55" s="47">
        <f>SUM(G56:G58)+G60</f>
        <v>44553630</v>
      </c>
      <c r="H55" s="47">
        <f t="shared" ref="H55:O55" si="41">SUM(H56:H58)+H60</f>
        <v>46998360</v>
      </c>
      <c r="I55" s="47">
        <f t="shared" si="41"/>
        <v>143988440</v>
      </c>
      <c r="J55" s="47">
        <f t="shared" si="41"/>
        <v>145563350.40000001</v>
      </c>
      <c r="K55" s="47">
        <f t="shared" si="41"/>
        <v>136980720</v>
      </c>
      <c r="L55" s="47">
        <f t="shared" si="41"/>
        <v>136980720</v>
      </c>
      <c r="M55" s="47">
        <f t="shared" si="41"/>
        <v>136980720</v>
      </c>
      <c r="N55" s="47">
        <f t="shared" si="41"/>
        <v>136980720</v>
      </c>
      <c r="O55" s="47">
        <f t="shared" si="41"/>
        <v>135435210</v>
      </c>
      <c r="P55" s="6">
        <f>(SUM(F55:O55)/1.2)</f>
        <v>920187283.66666675</v>
      </c>
    </row>
    <row r="56" spans="1:20" x14ac:dyDescent="0.25">
      <c r="A56" s="54"/>
      <c r="B56" s="11" t="s">
        <v>28</v>
      </c>
      <c r="C56" s="4" t="s">
        <v>13</v>
      </c>
      <c r="D56" s="5">
        <f t="shared" ref="D56:D61" si="42">SUM(F56:O56)</f>
        <v>714761250</v>
      </c>
      <c r="E56" s="5">
        <f>E44*D50</f>
        <v>14295225</v>
      </c>
      <c r="F56" s="5">
        <f>F44*F50</f>
        <v>38248350</v>
      </c>
      <c r="G56" s="5">
        <f t="shared" ref="G56:O56" si="43">G44*G50</f>
        <v>37987950</v>
      </c>
      <c r="H56" s="5">
        <f t="shared" si="43"/>
        <v>37989000</v>
      </c>
      <c r="I56" s="5">
        <f>I44*I50</f>
        <v>91683900</v>
      </c>
      <c r="J56" s="5">
        <f t="shared" si="43"/>
        <v>85050000</v>
      </c>
      <c r="K56" s="5">
        <f t="shared" si="43"/>
        <v>85050000</v>
      </c>
      <c r="L56" s="5">
        <f t="shared" si="43"/>
        <v>85050000</v>
      </c>
      <c r="M56" s="5">
        <f t="shared" si="43"/>
        <v>85050000</v>
      </c>
      <c r="N56" s="5">
        <f t="shared" si="43"/>
        <v>85050000</v>
      </c>
      <c r="O56" s="5">
        <f t="shared" si="43"/>
        <v>83602050</v>
      </c>
    </row>
    <row r="57" spans="1:20" x14ac:dyDescent="0.25">
      <c r="A57" s="54"/>
      <c r="B57" s="11" t="s">
        <v>29</v>
      </c>
      <c r="C57" s="4" t="s">
        <v>13</v>
      </c>
      <c r="D57" s="5">
        <f t="shared" si="42"/>
        <v>160539130.40000001</v>
      </c>
      <c r="E57" s="5">
        <f>E45*D51</f>
        <v>4759027.2</v>
      </c>
      <c r="F57" s="5">
        <f>F45*F51</f>
        <v>576000</v>
      </c>
      <c r="G57" s="5">
        <f t="shared" ref="G57:O57" si="44">G45*G51</f>
        <v>3090240</v>
      </c>
      <c r="H57" s="5">
        <f t="shared" si="44"/>
        <v>3168000</v>
      </c>
      <c r="I57" s="5">
        <f t="shared" si="44"/>
        <v>21317180</v>
      </c>
      <c r="J57" s="5">
        <f t="shared" si="44"/>
        <v>27760190.400000002</v>
      </c>
      <c r="K57" s="5">
        <f t="shared" si="44"/>
        <v>20943360</v>
      </c>
      <c r="L57" s="5">
        <f t="shared" si="44"/>
        <v>20943360</v>
      </c>
      <c r="M57" s="5">
        <f t="shared" si="44"/>
        <v>20943360</v>
      </c>
      <c r="N57" s="5">
        <f t="shared" si="44"/>
        <v>20943360</v>
      </c>
      <c r="O57" s="5">
        <f t="shared" si="44"/>
        <v>20854080</v>
      </c>
    </row>
    <row r="58" spans="1:20" x14ac:dyDescent="0.25">
      <c r="A58" s="54"/>
      <c r="B58" s="11" t="s">
        <v>30</v>
      </c>
      <c r="C58" s="4" t="s">
        <v>13</v>
      </c>
      <c r="D58" s="5">
        <f t="shared" si="42"/>
        <v>225042120</v>
      </c>
      <c r="E58" s="5">
        <f>E46*D53</f>
        <v>319625.04000000004</v>
      </c>
      <c r="F58" s="5">
        <f>F46*F52</f>
        <v>736920</v>
      </c>
      <c r="G58" s="5">
        <f t="shared" ref="G58:O58" si="45">G46*G52</f>
        <v>2467440</v>
      </c>
      <c r="H58" s="5">
        <f t="shared" si="45"/>
        <v>3825360</v>
      </c>
      <c r="I58" s="5">
        <f t="shared" si="45"/>
        <v>30900960</v>
      </c>
      <c r="J58" s="5">
        <f t="shared" si="45"/>
        <v>32614920</v>
      </c>
      <c r="K58" s="5">
        <f t="shared" si="45"/>
        <v>30900960</v>
      </c>
      <c r="L58" s="5">
        <f t="shared" si="45"/>
        <v>30900960</v>
      </c>
      <c r="M58" s="5">
        <f t="shared" si="45"/>
        <v>30900960</v>
      </c>
      <c r="N58" s="5">
        <f t="shared" si="45"/>
        <v>30900960</v>
      </c>
      <c r="O58" s="5">
        <f t="shared" si="45"/>
        <v>30892680</v>
      </c>
    </row>
    <row r="59" spans="1:20" x14ac:dyDescent="0.25">
      <c r="A59" s="54"/>
      <c r="B59" s="11" t="s">
        <v>34</v>
      </c>
      <c r="C59" s="4" t="s">
        <v>13</v>
      </c>
      <c r="D59" s="5">
        <f t="shared" si="42"/>
        <v>449028552</v>
      </c>
      <c r="E59" s="5">
        <f>E47*D54</f>
        <v>43986470.399999999</v>
      </c>
      <c r="F59" s="5">
        <f>F47*F53</f>
        <v>21589008</v>
      </c>
      <c r="G59" s="5">
        <f>G47*G53</f>
        <v>22079400</v>
      </c>
      <c r="H59" s="5">
        <f t="shared" ref="H59:O59" si="46">H47*H53</f>
        <v>22192296</v>
      </c>
      <c r="I59" s="5">
        <f t="shared" si="46"/>
        <v>57888600</v>
      </c>
      <c r="J59" s="5">
        <f t="shared" si="46"/>
        <v>55617156</v>
      </c>
      <c r="K59" s="5">
        <f t="shared" si="46"/>
        <v>54098352</v>
      </c>
      <c r="L59" s="5">
        <f t="shared" si="46"/>
        <v>54098352</v>
      </c>
      <c r="M59" s="5">
        <f t="shared" si="46"/>
        <v>54098352</v>
      </c>
      <c r="N59" s="5">
        <f t="shared" si="46"/>
        <v>54098352</v>
      </c>
      <c r="O59" s="5">
        <f t="shared" si="46"/>
        <v>53268684</v>
      </c>
      <c r="P59" s="6">
        <f>SUM(F59:O59)/1.2</f>
        <v>374190460</v>
      </c>
    </row>
    <row r="60" spans="1:20" x14ac:dyDescent="0.25">
      <c r="A60" s="54"/>
      <c r="B60" s="11" t="s">
        <v>31</v>
      </c>
      <c r="C60" s="4" t="s">
        <v>13</v>
      </c>
      <c r="D60" s="5">
        <f t="shared" si="42"/>
        <v>3882240</v>
      </c>
      <c r="E60" s="5">
        <f t="shared" ref="E60" si="47">E48*D54</f>
        <v>71251.200000000012</v>
      </c>
      <c r="F60" s="5">
        <f>F48*F54</f>
        <v>201600</v>
      </c>
      <c r="G60" s="5">
        <f>G48*G54</f>
        <v>1008000</v>
      </c>
      <c r="H60" s="5">
        <f t="shared" ref="H60:O60" si="48">H48*H54</f>
        <v>2016000</v>
      </c>
      <c r="I60" s="5">
        <f t="shared" si="48"/>
        <v>86400</v>
      </c>
      <c r="J60" s="5">
        <f t="shared" si="48"/>
        <v>138240</v>
      </c>
      <c r="K60" s="5">
        <f t="shared" si="48"/>
        <v>86400</v>
      </c>
      <c r="L60" s="5">
        <f t="shared" si="48"/>
        <v>86400</v>
      </c>
      <c r="M60" s="5">
        <f t="shared" si="48"/>
        <v>86400</v>
      </c>
      <c r="N60" s="5">
        <f t="shared" si="48"/>
        <v>86400</v>
      </c>
      <c r="O60" s="5">
        <f t="shared" si="48"/>
        <v>86400</v>
      </c>
    </row>
    <row r="61" spans="1:20" x14ac:dyDescent="0.25">
      <c r="A61" s="51" t="s">
        <v>37</v>
      </c>
      <c r="B61" s="35" t="s">
        <v>46</v>
      </c>
      <c r="C61" s="36" t="s">
        <v>13</v>
      </c>
      <c r="D61" s="37">
        <f t="shared" si="42"/>
        <v>2719481.2127999994</v>
      </c>
      <c r="E61" s="38"/>
      <c r="F61" s="37">
        <f>F62+F63+F64</f>
        <v>2719481.2127999994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6">
        <f>SUM(F61:O61)</f>
        <v>2719481.2127999994</v>
      </c>
      <c r="S61" s="6">
        <f>[1]Лист1!$D$58-F61-G61-H61</f>
        <v>2399262771.5935125</v>
      </c>
      <c r="T61" s="16">
        <f>S61/7</f>
        <v>342751824.51335895</v>
      </c>
    </row>
    <row r="62" spans="1:20" x14ac:dyDescent="0.25">
      <c r="A62" s="52"/>
      <c r="B62" s="11" t="s">
        <v>49</v>
      </c>
      <c r="C62" s="8"/>
      <c r="D62" s="7"/>
      <c r="E62" s="19"/>
      <c r="F62" s="7">
        <f>414705*1.128*1.2</f>
        <v>561344.68799999985</v>
      </c>
      <c r="G62" s="9"/>
      <c r="H62" s="9"/>
      <c r="I62" s="9"/>
      <c r="J62" s="9"/>
      <c r="K62" s="9"/>
      <c r="L62" s="9"/>
      <c r="M62" s="9"/>
      <c r="N62" s="9"/>
      <c r="O62" s="9"/>
      <c r="S62" s="6"/>
      <c r="T62" s="16"/>
    </row>
    <row r="63" spans="1:20" x14ac:dyDescent="0.25">
      <c r="A63" s="52"/>
      <c r="B63" s="11" t="s">
        <v>48</v>
      </c>
      <c r="C63" s="8"/>
      <c r="D63" s="7"/>
      <c r="E63" s="19"/>
      <c r="F63" s="7">
        <f>1221048*1.128*1.2</f>
        <v>1652810.5727999997</v>
      </c>
      <c r="G63" s="9"/>
      <c r="H63" s="9"/>
      <c r="I63" s="9"/>
      <c r="J63" s="9"/>
      <c r="K63" s="9"/>
      <c r="L63" s="9"/>
      <c r="M63" s="9"/>
      <c r="N63" s="9"/>
      <c r="O63" s="9"/>
      <c r="S63" s="6"/>
      <c r="T63" s="16"/>
    </row>
    <row r="64" spans="1:20" x14ac:dyDescent="0.25">
      <c r="A64" s="53"/>
      <c r="B64" s="11" t="s">
        <v>47</v>
      </c>
      <c r="C64" s="8"/>
      <c r="D64" s="7"/>
      <c r="E64" s="19"/>
      <c r="F64" s="7">
        <f>373320*1.128*1.2</f>
        <v>505325.95199999993</v>
      </c>
      <c r="G64" s="9"/>
      <c r="H64" s="9"/>
      <c r="I64" s="9"/>
      <c r="J64" s="9"/>
      <c r="K64" s="9"/>
      <c r="L64" s="9"/>
      <c r="M64" s="9"/>
      <c r="N64" s="9"/>
      <c r="O64" s="9"/>
      <c r="S64" s="6"/>
      <c r="T64" s="16"/>
    </row>
    <row r="69" spans="6:15" x14ac:dyDescent="0.25">
      <c r="F69" s="50">
        <f>F14+F23+F36+F61+F41</f>
        <v>153648452.94280002</v>
      </c>
      <c r="G69" s="50">
        <f t="shared" ref="G69:O69" si="49">G14+G23+G36+G61+G41</f>
        <v>148367016.972</v>
      </c>
      <c r="H69" s="50">
        <f t="shared" si="49"/>
        <v>158069599.5654</v>
      </c>
      <c r="I69" s="50">
        <f t="shared" si="49"/>
        <v>468480815.21373761</v>
      </c>
      <c r="J69" s="50">
        <f t="shared" si="49"/>
        <v>491190806.77549881</v>
      </c>
      <c r="K69" s="50">
        <f t="shared" si="49"/>
        <v>486541438.78201306</v>
      </c>
      <c r="L69" s="50">
        <f t="shared" si="49"/>
        <v>510810417.25111365</v>
      </c>
      <c r="M69" s="50">
        <f t="shared" si="49"/>
        <v>536292844.64366943</v>
      </c>
      <c r="N69" s="50">
        <f t="shared" si="49"/>
        <v>563049393.40585291</v>
      </c>
      <c r="O69" s="50">
        <f t="shared" si="49"/>
        <v>583173294.2826798</v>
      </c>
    </row>
    <row r="74" spans="6:15" x14ac:dyDescent="0.25">
      <c r="F74" s="16"/>
      <c r="G74" s="16"/>
    </row>
    <row r="75" spans="6:15" x14ac:dyDescent="0.25">
      <c r="F75" s="16"/>
      <c r="G75" s="16"/>
      <c r="H75" s="16"/>
    </row>
    <row r="78" spans="6:15" x14ac:dyDescent="0.25">
      <c r="G78" s="30">
        <f>H78/1000</f>
        <v>36080.809283333336</v>
      </c>
      <c r="H78" s="28">
        <v>36080809.283333339</v>
      </c>
      <c r="L78" s="30">
        <f>G78-K78</f>
        <v>36080.809283333336</v>
      </c>
    </row>
    <row r="79" spans="6:15" x14ac:dyDescent="0.25">
      <c r="G79" s="30">
        <f t="shared" ref="G79:G87" si="50">H79/1000</f>
        <v>167234.20189166669</v>
      </c>
      <c r="H79" s="28">
        <v>167234201.89166668</v>
      </c>
      <c r="I79" s="30">
        <f>H78/5</f>
        <v>7216161.8566666674</v>
      </c>
      <c r="J79" s="30">
        <v>7216161.8566666674</v>
      </c>
      <c r="K79" s="30">
        <f>J79/1000</f>
        <v>7216.1618566666675</v>
      </c>
      <c r="L79" s="30">
        <f t="shared" ref="L79:L85" si="51">G79-K79</f>
        <v>160018.04003500001</v>
      </c>
    </row>
    <row r="80" spans="6:15" x14ac:dyDescent="0.25">
      <c r="G80" s="30">
        <f t="shared" si="50"/>
        <v>416783.22646666667</v>
      </c>
      <c r="H80" s="28">
        <v>416783226.4666667</v>
      </c>
      <c r="I80" s="30">
        <f>H79+H78</f>
        <v>203315011.17500001</v>
      </c>
      <c r="J80" s="30">
        <f>I80/5</f>
        <v>40663002.234999999</v>
      </c>
      <c r="K80" s="30">
        <f t="shared" ref="K80:K86" si="52">J80/1000</f>
        <v>40663.002235</v>
      </c>
      <c r="L80" s="30">
        <f t="shared" si="51"/>
        <v>376120.22423166665</v>
      </c>
    </row>
    <row r="81" spans="7:14" x14ac:dyDescent="0.25">
      <c r="G81" s="30">
        <f t="shared" si="50"/>
        <v>538874.54431666655</v>
      </c>
      <c r="H81" s="28">
        <v>538874544.3166666</v>
      </c>
      <c r="I81" s="30">
        <f>H78+H79+H80</f>
        <v>620098237.64166665</v>
      </c>
      <c r="J81" s="30">
        <f>I81/5</f>
        <v>124019647.52833334</v>
      </c>
      <c r="K81" s="30">
        <f t="shared" si="52"/>
        <v>124019.64752833334</v>
      </c>
      <c r="L81" s="30">
        <f t="shared" si="51"/>
        <v>414854.89678833319</v>
      </c>
    </row>
    <row r="82" spans="7:14" x14ac:dyDescent="0.25">
      <c r="G82" s="30">
        <f t="shared" si="50"/>
        <v>538874.54431666655</v>
      </c>
      <c r="H82" s="28">
        <v>538874544.3166666</v>
      </c>
      <c r="I82" s="30">
        <f>H78+H79+H80+H81</f>
        <v>1158972781.9583333</v>
      </c>
      <c r="J82" s="30">
        <f>I82/5</f>
        <v>231794556.39166665</v>
      </c>
      <c r="K82" s="30">
        <f t="shared" si="52"/>
        <v>231794.55639166664</v>
      </c>
      <c r="L82" s="30">
        <f t="shared" si="51"/>
        <v>307079.98792499991</v>
      </c>
    </row>
    <row r="83" spans="7:14" x14ac:dyDescent="0.25">
      <c r="G83" s="30">
        <f t="shared" si="50"/>
        <v>538874.54431666655</v>
      </c>
      <c r="H83" s="28">
        <v>538874544.3166666</v>
      </c>
      <c r="I83" s="30">
        <f>SUM(H78:H82)</f>
        <v>1697847326.2749999</v>
      </c>
      <c r="J83" s="30">
        <f t="shared" ref="J83:J87" si="53">I83/5</f>
        <v>339569465.255</v>
      </c>
      <c r="K83" s="30">
        <f t="shared" si="52"/>
        <v>339569.46525499999</v>
      </c>
      <c r="L83" s="30">
        <f t="shared" si="51"/>
        <v>199305.07906166656</v>
      </c>
    </row>
    <row r="84" spans="7:14" x14ac:dyDescent="0.25">
      <c r="G84" s="30">
        <f t="shared" si="50"/>
        <v>538874.54431666655</v>
      </c>
      <c r="H84" s="28">
        <v>538874544.3166666</v>
      </c>
      <c r="I84" s="30">
        <f>SUM(H79:H83)</f>
        <v>2200641061.3083334</v>
      </c>
      <c r="J84" s="30">
        <f t="shared" si="53"/>
        <v>440128212.26166666</v>
      </c>
      <c r="K84" s="30">
        <f t="shared" si="52"/>
        <v>440128.21226166666</v>
      </c>
      <c r="L84" s="30">
        <f t="shared" si="51"/>
        <v>98746.33205499989</v>
      </c>
    </row>
    <row r="85" spans="7:14" x14ac:dyDescent="0.25">
      <c r="G85" s="30">
        <f t="shared" si="50"/>
        <v>538874.54431666655</v>
      </c>
      <c r="H85" s="28">
        <v>538874544.3166666</v>
      </c>
      <c r="I85" s="30">
        <f t="shared" ref="I85:I87" si="54">SUM(H80:H84)</f>
        <v>2572281403.7333331</v>
      </c>
      <c r="J85" s="30">
        <f t="shared" si="53"/>
        <v>514456280.74666661</v>
      </c>
      <c r="K85" s="30">
        <f t="shared" si="52"/>
        <v>514456.2807466666</v>
      </c>
      <c r="L85" s="30">
        <f t="shared" si="51"/>
        <v>24418.263569999952</v>
      </c>
    </row>
    <row r="86" spans="7:14" x14ac:dyDescent="0.25">
      <c r="G86" s="30">
        <f t="shared" si="50"/>
        <v>538874.54431666655</v>
      </c>
      <c r="H86" s="28">
        <v>538874544.3166666</v>
      </c>
      <c r="I86" s="30">
        <f t="shared" si="54"/>
        <v>2694372721.583333</v>
      </c>
      <c r="J86" s="30">
        <f t="shared" si="53"/>
        <v>538874544.3166666</v>
      </c>
      <c r="K86" s="30">
        <f t="shared" si="52"/>
        <v>538874.54431666655</v>
      </c>
      <c r="L86" s="30">
        <f>SUM(L78:L85)</f>
        <v>1616623.6329499993</v>
      </c>
    </row>
    <row r="87" spans="7:14" x14ac:dyDescent="0.25">
      <c r="G87" s="30">
        <f t="shared" si="50"/>
        <v>538848.55915833346</v>
      </c>
      <c r="H87" s="28">
        <v>538848559.15833342</v>
      </c>
      <c r="I87" s="30">
        <f t="shared" si="54"/>
        <v>2694372721.583333</v>
      </c>
      <c r="J87" s="30">
        <f t="shared" si="53"/>
        <v>538874544.3166666</v>
      </c>
      <c r="K87" s="30">
        <v>538848.55915999995</v>
      </c>
      <c r="L87" s="30"/>
    </row>
    <row r="88" spans="7:14" x14ac:dyDescent="0.25">
      <c r="K88" s="30">
        <f>SUM(K79:K87)</f>
        <v>2775570.4297516663</v>
      </c>
    </row>
    <row r="90" spans="7:14" x14ac:dyDescent="0.25">
      <c r="L90" s="30">
        <f>L86+K88</f>
        <v>4392194.0627016658</v>
      </c>
    </row>
    <row r="93" spans="7:14" x14ac:dyDescent="0.25">
      <c r="I93">
        <f>J93*1.2</f>
        <v>43296.971140000001</v>
      </c>
      <c r="J93">
        <v>36080.809283333336</v>
      </c>
      <c r="L93">
        <v>36080.809283333336</v>
      </c>
      <c r="N93">
        <f>L93*1.2</f>
        <v>43296.971140000001</v>
      </c>
    </row>
    <row r="94" spans="7:14" x14ac:dyDescent="0.25">
      <c r="I94">
        <f t="shared" ref="I94:I102" si="55">J94*1.2</f>
        <v>200681.04227000001</v>
      </c>
      <c r="J94">
        <v>167234.20189166669</v>
      </c>
      <c r="K94">
        <v>7216.1618566666675</v>
      </c>
      <c r="L94">
        <v>160018.04003500001</v>
      </c>
      <c r="M94">
        <f>K94*1.2</f>
        <v>8659.394228000001</v>
      </c>
      <c r="N94">
        <f>L94*1.2</f>
        <v>192021.64804200002</v>
      </c>
    </row>
    <row r="95" spans="7:14" x14ac:dyDescent="0.25">
      <c r="I95">
        <f t="shared" si="55"/>
        <v>500139.87176000001</v>
      </c>
      <c r="J95">
        <v>416783.22646666667</v>
      </c>
      <c r="K95">
        <v>40663.002235</v>
      </c>
      <c r="L95">
        <v>376120.22423166665</v>
      </c>
      <c r="M95">
        <f t="shared" ref="M95:M102" si="56">K95*1.2</f>
        <v>48795.602681999997</v>
      </c>
      <c r="N95">
        <f t="shared" ref="N95:N100" si="57">L95*1.2</f>
        <v>451344.26907799998</v>
      </c>
    </row>
    <row r="96" spans="7:14" x14ac:dyDescent="0.25">
      <c r="I96">
        <f t="shared" si="55"/>
        <v>646649.45317999984</v>
      </c>
      <c r="J96">
        <v>538874.54431666655</v>
      </c>
      <c r="K96">
        <v>124019.64752833334</v>
      </c>
      <c r="L96">
        <v>414854.89678833319</v>
      </c>
      <c r="M96">
        <f t="shared" si="56"/>
        <v>148823.57703400002</v>
      </c>
      <c r="N96">
        <f t="shared" si="57"/>
        <v>497825.87614599982</v>
      </c>
    </row>
    <row r="97" spans="9:14" x14ac:dyDescent="0.25">
      <c r="I97">
        <f t="shared" si="55"/>
        <v>646649.45317999984</v>
      </c>
      <c r="J97">
        <v>538874.54431666655</v>
      </c>
      <c r="K97">
        <v>231794.55639166664</v>
      </c>
      <c r="L97">
        <v>307079.98792499991</v>
      </c>
      <c r="M97">
        <f t="shared" si="56"/>
        <v>278153.46766999998</v>
      </c>
      <c r="N97">
        <f t="shared" si="57"/>
        <v>368495.98550999985</v>
      </c>
    </row>
    <row r="98" spans="9:14" x14ac:dyDescent="0.25">
      <c r="I98">
        <f t="shared" si="55"/>
        <v>646649.45317999984</v>
      </c>
      <c r="J98">
        <v>538874.54431666655</v>
      </c>
      <c r="K98">
        <v>339569.46525499999</v>
      </c>
      <c r="L98">
        <v>199305.07906166656</v>
      </c>
      <c r="M98">
        <f t="shared" si="56"/>
        <v>407483.35830599995</v>
      </c>
      <c r="N98">
        <f t="shared" si="57"/>
        <v>239166.09487399986</v>
      </c>
    </row>
    <row r="99" spans="9:14" x14ac:dyDescent="0.25">
      <c r="I99">
        <f t="shared" si="55"/>
        <v>646649.45317999984</v>
      </c>
      <c r="J99">
        <v>538874.54431666655</v>
      </c>
      <c r="K99">
        <v>440128.21226166666</v>
      </c>
      <c r="L99">
        <v>98746.33205499989</v>
      </c>
      <c r="M99">
        <f t="shared" si="56"/>
        <v>528153.85471400002</v>
      </c>
      <c r="N99">
        <f t="shared" si="57"/>
        <v>118495.59846599986</v>
      </c>
    </row>
    <row r="100" spans="9:14" x14ac:dyDescent="0.25">
      <c r="I100">
        <f t="shared" si="55"/>
        <v>646649.45317999984</v>
      </c>
      <c r="J100">
        <v>538874.54431666655</v>
      </c>
      <c r="K100">
        <v>514456.2807466666</v>
      </c>
      <c r="L100">
        <v>24418.263569999952</v>
      </c>
      <c r="M100">
        <f t="shared" si="56"/>
        <v>617347.53689599992</v>
      </c>
      <c r="N100">
        <f t="shared" si="57"/>
        <v>29301.916283999941</v>
      </c>
    </row>
    <row r="101" spans="9:14" x14ac:dyDescent="0.25">
      <c r="I101">
        <f t="shared" si="55"/>
        <v>646649.45317999984</v>
      </c>
      <c r="J101">
        <v>538874.54431666655</v>
      </c>
      <c r="K101">
        <v>538874.54431666655</v>
      </c>
      <c r="L101">
        <v>1616623.6329499993</v>
      </c>
      <c r="M101">
        <f t="shared" si="56"/>
        <v>646649.45317999984</v>
      </c>
      <c r="N101">
        <f>SUM(N93:N100)</f>
        <v>1939948.3595399994</v>
      </c>
    </row>
    <row r="102" spans="9:14" x14ac:dyDescent="0.25">
      <c r="I102">
        <f t="shared" si="55"/>
        <v>646618.27099000011</v>
      </c>
      <c r="J102">
        <v>538848.55915833346</v>
      </c>
      <c r="K102">
        <v>538848.55915999995</v>
      </c>
      <c r="M102">
        <f t="shared" si="56"/>
        <v>646618.27099199989</v>
      </c>
    </row>
    <row r="103" spans="9:14" x14ac:dyDescent="0.25">
      <c r="I103">
        <f>SUM(I93:I102)</f>
        <v>5270632.875239999</v>
      </c>
      <c r="M103">
        <f>SUM(M94:M102)</f>
        <v>3330684.5157019999</v>
      </c>
    </row>
    <row r="104" spans="9:14" x14ac:dyDescent="0.25">
      <c r="I104">
        <f>M103+N101</f>
        <v>5270632.8752419995</v>
      </c>
    </row>
  </sheetData>
  <mergeCells count="6">
    <mergeCell ref="A61:A64"/>
    <mergeCell ref="A43:A60"/>
    <mergeCell ref="A19:A24"/>
    <mergeCell ref="A4:A18"/>
    <mergeCell ref="A2:B2"/>
    <mergeCell ref="A25:A42"/>
  </mergeCells>
  <pageMargins left="0.70866141732283472" right="0.70866141732283472" top="0.74803149606299213" bottom="0.74803149606299213" header="0.31496062992125984" footer="0.31496062992125984"/>
  <pageSetup paperSize="8" scale="64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8"/>
  <sheetViews>
    <sheetView workbookViewId="0">
      <selection activeCell="L17" sqref="L17"/>
    </sheetView>
  </sheetViews>
  <sheetFormatPr defaultRowHeight="15" x14ac:dyDescent="0.25"/>
  <cols>
    <col min="3" max="3" width="14.5703125" bestFit="1" customWidth="1"/>
    <col min="4" max="4" width="14.7109375" bestFit="1" customWidth="1"/>
    <col min="5" max="12" width="15.7109375" bestFit="1" customWidth="1"/>
  </cols>
  <sheetData>
    <row r="3" spans="3:12" x14ac:dyDescent="0.25">
      <c r="C3" s="17">
        <v>2021</v>
      </c>
      <c r="D3" s="17">
        <v>2022</v>
      </c>
      <c r="E3" s="17">
        <v>2023</v>
      </c>
      <c r="F3" s="2">
        <v>2024</v>
      </c>
      <c r="G3" s="2">
        <v>2025</v>
      </c>
      <c r="H3" s="2">
        <v>2026</v>
      </c>
      <c r="I3" s="2">
        <v>2027</v>
      </c>
      <c r="J3" s="2">
        <v>2028</v>
      </c>
      <c r="K3" s="2">
        <v>2029</v>
      </c>
      <c r="L3" s="2">
        <v>2030</v>
      </c>
    </row>
    <row r="4" spans="3:12" x14ac:dyDescent="0.25">
      <c r="C4" s="33">
        <v>2589</v>
      </c>
      <c r="D4" s="33">
        <v>15630</v>
      </c>
      <c r="E4" s="33">
        <v>57393</v>
      </c>
      <c r="F4" s="33">
        <v>156313</v>
      </c>
      <c r="G4" s="33">
        <v>255233</v>
      </c>
      <c r="H4" s="33">
        <v>354153</v>
      </c>
      <c r="I4" s="33">
        <v>453073</v>
      </c>
      <c r="J4" s="33">
        <v>551993</v>
      </c>
      <c r="K4" s="33">
        <v>650913</v>
      </c>
      <c r="L4" s="33">
        <v>749837</v>
      </c>
    </row>
    <row r="5" spans="3:12" x14ac:dyDescent="0.25">
      <c r="C5" s="28">
        <v>980000</v>
      </c>
      <c r="D5" s="28">
        <v>5050000</v>
      </c>
      <c r="E5" s="28">
        <v>10100000</v>
      </c>
      <c r="F5" s="28">
        <v>10100000</v>
      </c>
      <c r="G5" s="28">
        <v>10100000</v>
      </c>
      <c r="H5" s="28">
        <v>10100000</v>
      </c>
      <c r="I5" s="28">
        <v>10100000</v>
      </c>
      <c r="J5" s="28">
        <v>10100000</v>
      </c>
      <c r="K5" s="28">
        <v>10100000</v>
      </c>
      <c r="L5" s="28"/>
    </row>
    <row r="6" spans="3:12" x14ac:dyDescent="0.25">
      <c r="C6">
        <v>5000</v>
      </c>
      <c r="D6">
        <v>50000</v>
      </c>
      <c r="E6">
        <v>50000</v>
      </c>
      <c r="F6">
        <v>50000</v>
      </c>
      <c r="G6">
        <v>50000</v>
      </c>
      <c r="H6">
        <v>50000</v>
      </c>
      <c r="I6">
        <v>50000</v>
      </c>
      <c r="J6">
        <v>50000</v>
      </c>
      <c r="K6">
        <v>50000</v>
      </c>
    </row>
    <row r="7" spans="3:12" x14ac:dyDescent="0.25">
      <c r="E7">
        <v>50000</v>
      </c>
      <c r="F7">
        <v>50000</v>
      </c>
      <c r="G7">
        <v>50000</v>
      </c>
      <c r="H7">
        <v>50000</v>
      </c>
      <c r="I7">
        <v>50000</v>
      </c>
      <c r="J7">
        <v>50000</v>
      </c>
      <c r="K7">
        <v>50000</v>
      </c>
    </row>
    <row r="8" spans="3:12" x14ac:dyDescent="0.25">
      <c r="C8" s="34">
        <f>C5*1.2</f>
        <v>1176000</v>
      </c>
      <c r="D8" s="34">
        <f t="shared" ref="D8:K8" si="0">D5*1.2</f>
        <v>6060000</v>
      </c>
      <c r="E8" s="34">
        <f t="shared" si="0"/>
        <v>12120000</v>
      </c>
      <c r="F8" s="34">
        <f t="shared" si="0"/>
        <v>12120000</v>
      </c>
      <c r="G8" s="34">
        <f t="shared" si="0"/>
        <v>12120000</v>
      </c>
      <c r="H8" s="34">
        <f t="shared" si="0"/>
        <v>12120000</v>
      </c>
      <c r="I8" s="34">
        <f t="shared" si="0"/>
        <v>12120000</v>
      </c>
      <c r="J8" s="34">
        <f t="shared" si="0"/>
        <v>12120000</v>
      </c>
      <c r="K8" s="34">
        <f t="shared" si="0"/>
        <v>12120000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Отморский Иван Александрович</dc:creator>
  <cp:lastModifiedBy>Пользователь Windows</cp:lastModifiedBy>
  <cp:lastPrinted>2020-09-10T07:46:33Z</cp:lastPrinted>
  <dcterms:created xsi:type="dcterms:W3CDTF">2019-03-18T11:06:54Z</dcterms:created>
  <dcterms:modified xsi:type="dcterms:W3CDTF">2020-09-10T09:03:46Z</dcterms:modified>
</cp:coreProperties>
</file>